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jllob\Documents\01.Dayparter\04. Templates\Agency Templates\BMS Template\"/>
    </mc:Choice>
  </mc:AlternateContent>
  <xr:revisionPtr revIDLastSave="0" documentId="8_{A688B8D4-93AD-4447-8B0B-D92DB0DA1427}" xr6:coauthVersionLast="47" xr6:coauthVersionMax="47" xr10:uidLastSave="{00000000-0000-0000-0000-000000000000}"/>
  <bookViews>
    <workbookView xWindow="-110" yWindow="-110" windowWidth="38620" windowHeight="23500" tabRatio="500" xr2:uid="{00000000-000D-0000-FFFF-FFFF00000000}"/>
  </bookViews>
  <sheets>
    <sheet name="Overview" sheetId="1" r:id="rId1"/>
    <sheet name="Daily" sheetId="2" r:id="rId2"/>
    <sheet name="Meta" sheetId="3" r:id="rId3"/>
    <sheet name="TikTok" sheetId="4" r:id="rId4"/>
    <sheet name="LinkedIn" sheetId="5" r:id="rId5"/>
    <sheet name="Pinterest" sheetId="6" r:id="rId6"/>
    <sheet name="Google Ads" sheetId="7" r:id="rId7"/>
    <sheet name="Microsoft Ads" sheetId="8" r:id="rId8"/>
    <sheet name="Programmatic" sheetId="9" r:id="rId9"/>
    <sheet name="Other" sheetId="10" r:id="rId10"/>
  </sheets>
  <definedNames>
    <definedName name="_xlnm.Print_Area" localSheetId="0">Overview!$B$1:$S$41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I31" i="10" l="1"/>
  <c r="I29" i="10"/>
  <c r="I27" i="10"/>
  <c r="I25" i="10"/>
  <c r="I23" i="10"/>
  <c r="I21" i="10"/>
  <c r="I19" i="10"/>
  <c r="I17" i="10"/>
  <c r="I15" i="10"/>
  <c r="H9" i="10"/>
  <c r="F9" i="10"/>
  <c r="D9" i="10"/>
  <c r="F8" i="10"/>
  <c r="D8" i="10"/>
  <c r="J38" i="10" s="1"/>
  <c r="F7" i="10"/>
  <c r="D7" i="10"/>
  <c r="I38" i="10" s="1"/>
  <c r="L38" i="10" s="1"/>
  <c r="F6" i="10"/>
  <c r="M2" i="10"/>
  <c r="J37" i="9"/>
  <c r="J36" i="9"/>
  <c r="I36" i="9"/>
  <c r="L36" i="9" s="1"/>
  <c r="J35" i="9"/>
  <c r="J34" i="9"/>
  <c r="J28" i="9"/>
  <c r="I28" i="9"/>
  <c r="L28" i="9" s="1"/>
  <c r="J27" i="9"/>
  <c r="J26" i="9"/>
  <c r="I26" i="9"/>
  <c r="J20" i="9"/>
  <c r="J19" i="9"/>
  <c r="J18" i="9"/>
  <c r="I18" i="9"/>
  <c r="J17" i="9"/>
  <c r="J16" i="9"/>
  <c r="I16" i="9"/>
  <c r="L16" i="9" s="1"/>
  <c r="H9" i="9"/>
  <c r="D9" i="9"/>
  <c r="F8" i="9"/>
  <c r="D8" i="9"/>
  <c r="J25" i="9" s="1"/>
  <c r="F7" i="9"/>
  <c r="D7" i="9"/>
  <c r="I37" i="9" s="1"/>
  <c r="L37" i="9" s="1"/>
  <c r="P37" i="9" s="1"/>
  <c r="Q37" i="9" s="1"/>
  <c r="F6" i="9"/>
  <c r="M2" i="9"/>
  <c r="J38" i="8"/>
  <c r="J36" i="8"/>
  <c r="J34" i="8"/>
  <c r="I28" i="8"/>
  <c r="J22" i="8"/>
  <c r="I22" i="8"/>
  <c r="L22" i="8" s="1"/>
  <c r="J20" i="8"/>
  <c r="I20" i="8"/>
  <c r="L20" i="8" s="1"/>
  <c r="J18" i="8"/>
  <c r="M16" i="8"/>
  <c r="N16" i="8" s="1"/>
  <c r="O16" i="8" s="1"/>
  <c r="J16" i="8"/>
  <c r="I16" i="8"/>
  <c r="L16" i="8" s="1"/>
  <c r="P16" i="8" s="1"/>
  <c r="Q16" i="8" s="1"/>
  <c r="J14" i="8"/>
  <c r="H9" i="8"/>
  <c r="D9" i="8"/>
  <c r="F8" i="8"/>
  <c r="D8" i="8"/>
  <c r="J37" i="8" s="1"/>
  <c r="F7" i="8"/>
  <c r="D7" i="8"/>
  <c r="I34" i="8" s="1"/>
  <c r="L34" i="8" s="1"/>
  <c r="F6" i="8"/>
  <c r="M2" i="8"/>
  <c r="J32" i="7"/>
  <c r="J21" i="7"/>
  <c r="J20" i="7"/>
  <c r="H9" i="7"/>
  <c r="D9" i="7"/>
  <c r="F8" i="7"/>
  <c r="D8" i="7"/>
  <c r="J31" i="7" s="1"/>
  <c r="F7" i="7"/>
  <c r="D7" i="7"/>
  <c r="I20" i="7" s="1"/>
  <c r="L20" i="7" s="1"/>
  <c r="F6" i="7"/>
  <c r="M2" i="7"/>
  <c r="I35" i="6"/>
  <c r="I31" i="6"/>
  <c r="J29" i="6"/>
  <c r="I25" i="6"/>
  <c r="J21" i="6"/>
  <c r="I21" i="6"/>
  <c r="J19" i="6"/>
  <c r="J17" i="6"/>
  <c r="I17" i="6"/>
  <c r="I15" i="6"/>
  <c r="H9" i="6"/>
  <c r="D9" i="6"/>
  <c r="F8" i="6"/>
  <c r="D8" i="6"/>
  <c r="J31" i="6" s="1"/>
  <c r="F7" i="6"/>
  <c r="D7" i="6"/>
  <c r="I19" i="6" s="1"/>
  <c r="F6" i="6"/>
  <c r="M2" i="6"/>
  <c r="I37" i="5"/>
  <c r="I35" i="5"/>
  <c r="I34" i="5"/>
  <c r="I33" i="5"/>
  <c r="I32" i="5"/>
  <c r="J22" i="5"/>
  <c r="I22" i="5"/>
  <c r="I21" i="5"/>
  <c r="I20" i="5"/>
  <c r="J19" i="5"/>
  <c r="I19" i="5"/>
  <c r="H9" i="5"/>
  <c r="D9" i="5"/>
  <c r="F8" i="5"/>
  <c r="D8" i="5"/>
  <c r="J26" i="5" s="1"/>
  <c r="F7" i="5"/>
  <c r="D7" i="5"/>
  <c r="I31" i="5" s="1"/>
  <c r="F6" i="5"/>
  <c r="M2" i="5"/>
  <c r="I38" i="4"/>
  <c r="J28" i="4"/>
  <c r="I28" i="4"/>
  <c r="I25" i="4"/>
  <c r="J24" i="4"/>
  <c r="I24" i="4"/>
  <c r="J23" i="4"/>
  <c r="I23" i="4"/>
  <c r="J21" i="4"/>
  <c r="I21" i="4"/>
  <c r="L21" i="4" s="1"/>
  <c r="J20" i="4"/>
  <c r="J18" i="4"/>
  <c r="I18" i="4"/>
  <c r="I17" i="4"/>
  <c r="J16" i="4"/>
  <c r="I16" i="4"/>
  <c r="L16" i="4" s="1"/>
  <c r="J14" i="4"/>
  <c r="I14" i="4"/>
  <c r="H9" i="4"/>
  <c r="D9" i="4"/>
  <c r="F8" i="4"/>
  <c r="D8" i="4"/>
  <c r="J32" i="4" s="1"/>
  <c r="F7" i="4"/>
  <c r="D7" i="4"/>
  <c r="I36" i="4" s="1"/>
  <c r="F6" i="4"/>
  <c r="M2" i="4"/>
  <c r="I23" i="3"/>
  <c r="I22" i="3"/>
  <c r="I18" i="3"/>
  <c r="H9" i="3"/>
  <c r="D9" i="3"/>
  <c r="F8" i="3"/>
  <c r="D8" i="3"/>
  <c r="J21" i="3" s="1"/>
  <c r="F7" i="3"/>
  <c r="D7" i="3"/>
  <c r="F6" i="3"/>
  <c r="M2" i="3"/>
  <c r="C129" i="2"/>
  <c r="Q129" i="2" s="1"/>
  <c r="C76" i="2"/>
  <c r="C55" i="2"/>
  <c r="T55" i="2" s="1"/>
  <c r="C36" i="2"/>
  <c r="R11" i="2"/>
  <c r="Q11" i="2"/>
  <c r="P11" i="2"/>
  <c r="O11" i="2"/>
  <c r="N11" i="2"/>
  <c r="M11" i="2"/>
  <c r="L11" i="2"/>
  <c r="K11" i="2"/>
  <c r="J11" i="2"/>
  <c r="I11" i="2"/>
  <c r="H11" i="2"/>
  <c r="G11" i="2"/>
  <c r="F11" i="2"/>
  <c r="E11" i="2"/>
  <c r="D11" i="2"/>
  <c r="D6" i="2"/>
  <c r="F33" i="1"/>
  <c r="C13" i="1" s="1"/>
  <c r="E33" i="1"/>
  <c r="D33" i="1"/>
  <c r="C24" i="2" s="1"/>
  <c r="P32" i="1"/>
  <c r="L32" i="1"/>
  <c r="H32" i="1"/>
  <c r="I32" i="1" s="1"/>
  <c r="M32" i="1" s="1"/>
  <c r="J32" i="1" s="1"/>
  <c r="K32" i="1" s="1"/>
  <c r="R32" i="1" s="1"/>
  <c r="G32" i="1"/>
  <c r="P31" i="1"/>
  <c r="L31" i="1"/>
  <c r="H31" i="1"/>
  <c r="O31" i="1" s="1"/>
  <c r="Q31" i="1" s="1"/>
  <c r="G31" i="1"/>
  <c r="P30" i="1"/>
  <c r="L30" i="1"/>
  <c r="H30" i="1"/>
  <c r="I30" i="1" s="1"/>
  <c r="M30" i="1" s="1"/>
  <c r="J30" i="1" s="1"/>
  <c r="K30" i="1" s="1"/>
  <c r="R30" i="1" s="1"/>
  <c r="G30" i="1"/>
  <c r="P29" i="1"/>
  <c r="L29" i="1"/>
  <c r="H29" i="1"/>
  <c r="O29" i="1" s="1"/>
  <c r="Q29" i="1" s="1"/>
  <c r="G29" i="1"/>
  <c r="P28" i="1"/>
  <c r="L28" i="1"/>
  <c r="H28" i="1"/>
  <c r="I28" i="1" s="1"/>
  <c r="M28" i="1" s="1"/>
  <c r="J28" i="1" s="1"/>
  <c r="K28" i="1" s="1"/>
  <c r="R28" i="1" s="1"/>
  <c r="G28" i="1"/>
  <c r="P27" i="1"/>
  <c r="L27" i="1"/>
  <c r="H27" i="1"/>
  <c r="N27" i="1" s="1"/>
  <c r="G27" i="1"/>
  <c r="P26" i="1"/>
  <c r="L26" i="1"/>
  <c r="H26" i="1"/>
  <c r="I26" i="1" s="1"/>
  <c r="M26" i="1" s="1"/>
  <c r="J26" i="1" s="1"/>
  <c r="K26" i="1" s="1"/>
  <c r="R26" i="1" s="1"/>
  <c r="G26" i="1"/>
  <c r="P25" i="1"/>
  <c r="H25" i="1"/>
  <c r="I6" i="10" s="1"/>
  <c r="G25" i="1"/>
  <c r="G24" i="1"/>
  <c r="G23" i="1"/>
  <c r="G22" i="1"/>
  <c r="P21" i="1"/>
  <c r="H21" i="1"/>
  <c r="I6" i="6" s="1"/>
  <c r="G21" i="1"/>
  <c r="G20" i="1"/>
  <c r="G19" i="1"/>
  <c r="G18" i="1"/>
  <c r="F17" i="1"/>
  <c r="H23" i="1"/>
  <c r="H19" i="1"/>
  <c r="H24" i="1"/>
  <c r="H20" i="1"/>
  <c r="H18" i="1"/>
  <c r="H22" i="1"/>
  <c r="M20" i="7" l="1"/>
  <c r="N20" i="7" s="1"/>
  <c r="O20" i="7" s="1"/>
  <c r="P20" i="7"/>
  <c r="Q20" i="7" s="1"/>
  <c r="P28" i="9"/>
  <c r="Q28" i="9" s="1"/>
  <c r="M28" i="9"/>
  <c r="N28" i="9" s="1"/>
  <c r="O28" i="9" s="1"/>
  <c r="L19" i="5"/>
  <c r="I33" i="7"/>
  <c r="L26" i="9"/>
  <c r="P26" i="9" s="1"/>
  <c r="Q26" i="9" s="1"/>
  <c r="J33" i="7"/>
  <c r="L21" i="6"/>
  <c r="M21" i="6" s="1"/>
  <c r="N21" i="6" s="1"/>
  <c r="O21" i="6" s="1"/>
  <c r="J22" i="7"/>
  <c r="J35" i="7"/>
  <c r="L18" i="9"/>
  <c r="P18" i="9" s="1"/>
  <c r="Q18" i="9" s="1"/>
  <c r="I25" i="7"/>
  <c r="L25" i="7" s="1"/>
  <c r="P25" i="7" s="1"/>
  <c r="Q25" i="7" s="1"/>
  <c r="L31" i="6"/>
  <c r="P31" i="6" s="1"/>
  <c r="Q31" i="6" s="1"/>
  <c r="J25" i="7"/>
  <c r="I30" i="9"/>
  <c r="L30" i="9" s="1"/>
  <c r="J27" i="3"/>
  <c r="F9" i="5"/>
  <c r="I26" i="5"/>
  <c r="L26" i="5" s="1"/>
  <c r="I33" i="6"/>
  <c r="J15" i="7"/>
  <c r="J26" i="7"/>
  <c r="J24" i="8"/>
  <c r="J21" i="9"/>
  <c r="J30" i="9"/>
  <c r="J38" i="9"/>
  <c r="L23" i="4"/>
  <c r="M23" i="4" s="1"/>
  <c r="N23" i="4" s="1"/>
  <c r="O23" i="4" s="1"/>
  <c r="I25" i="5"/>
  <c r="I38" i="9"/>
  <c r="L38" i="9" s="1"/>
  <c r="P38" i="9" s="1"/>
  <c r="Q38" i="9" s="1"/>
  <c r="J35" i="3"/>
  <c r="L28" i="4"/>
  <c r="J33" i="6"/>
  <c r="J16" i="7"/>
  <c r="J27" i="7"/>
  <c r="J26" i="8"/>
  <c r="F9" i="9"/>
  <c r="I22" i="9"/>
  <c r="J31" i="9"/>
  <c r="J28" i="7"/>
  <c r="J22" i="9"/>
  <c r="I32" i="9"/>
  <c r="L14" i="4"/>
  <c r="J37" i="7"/>
  <c r="J28" i="8"/>
  <c r="L28" i="8" s="1"/>
  <c r="I14" i="9"/>
  <c r="L14" i="9" s="1"/>
  <c r="J23" i="9"/>
  <c r="J32" i="9"/>
  <c r="J34" i="7"/>
  <c r="I36" i="5"/>
  <c r="J36" i="7"/>
  <c r="I38" i="5"/>
  <c r="I14" i="7"/>
  <c r="L14" i="7" s="1"/>
  <c r="J24" i="7"/>
  <c r="M37" i="9"/>
  <c r="N37" i="9" s="1"/>
  <c r="O37" i="9" s="1"/>
  <c r="I27" i="5"/>
  <c r="J18" i="7"/>
  <c r="I19" i="4"/>
  <c r="L19" i="4" s="1"/>
  <c r="I16" i="5"/>
  <c r="L16" i="5" s="1"/>
  <c r="I29" i="5"/>
  <c r="I37" i="6"/>
  <c r="I19" i="7"/>
  <c r="L19" i="7" s="1"/>
  <c r="I30" i="7"/>
  <c r="L30" i="7" s="1"/>
  <c r="J30" i="8"/>
  <c r="J14" i="9"/>
  <c r="I24" i="9"/>
  <c r="I33" i="10"/>
  <c r="L22" i="5"/>
  <c r="P22" i="5" s="1"/>
  <c r="Q22" i="5" s="1"/>
  <c r="I24" i="5"/>
  <c r="J38" i="7"/>
  <c r="J29" i="9"/>
  <c r="I28" i="5"/>
  <c r="J29" i="7"/>
  <c r="J19" i="4"/>
  <c r="I32" i="4"/>
  <c r="L32" i="4" s="1"/>
  <c r="P32" i="4" s="1"/>
  <c r="Q32" i="4" s="1"/>
  <c r="I17" i="5"/>
  <c r="I30" i="5"/>
  <c r="F9" i="6"/>
  <c r="J19" i="7"/>
  <c r="J30" i="7"/>
  <c r="J32" i="8"/>
  <c r="J24" i="9"/>
  <c r="J33" i="9"/>
  <c r="I35" i="10"/>
  <c r="J15" i="3"/>
  <c r="J23" i="7"/>
  <c r="I23" i="5"/>
  <c r="I20" i="9"/>
  <c r="L20" i="9" s="1"/>
  <c r="P20" i="9" s="1"/>
  <c r="Q20" i="9" s="1"/>
  <c r="J14" i="7"/>
  <c r="I14" i="5"/>
  <c r="J17" i="7"/>
  <c r="I15" i="5"/>
  <c r="L15" i="5" s="1"/>
  <c r="J35" i="6"/>
  <c r="L35" i="6" s="1"/>
  <c r="I20" i="4"/>
  <c r="L20" i="4" s="1"/>
  <c r="M20" i="4" s="1"/>
  <c r="N20" i="4" s="1"/>
  <c r="O20" i="4" s="1"/>
  <c r="I18" i="5"/>
  <c r="J15" i="9"/>
  <c r="I34" i="9"/>
  <c r="L34" i="9" s="1"/>
  <c r="I37" i="10"/>
  <c r="L17" i="6"/>
  <c r="L19" i="6"/>
  <c r="I23" i="6"/>
  <c r="L23" i="6" s="1"/>
  <c r="J37" i="6"/>
  <c r="J25" i="6"/>
  <c r="I27" i="6"/>
  <c r="L25" i="6"/>
  <c r="P25" i="6" s="1"/>
  <c r="Q25" i="6" s="1"/>
  <c r="J27" i="6"/>
  <c r="O27" i="1"/>
  <c r="Q27" i="1" s="1"/>
  <c r="I21" i="1"/>
  <c r="M21" i="1" s="1"/>
  <c r="J21" i="1" s="1"/>
  <c r="K21" i="1" s="1"/>
  <c r="R21" i="1" s="1"/>
  <c r="N32" i="1"/>
  <c r="I25" i="1"/>
  <c r="M25" i="1" s="1"/>
  <c r="J25" i="1" s="1"/>
  <c r="K25" i="1" s="1"/>
  <c r="R25" i="1" s="1"/>
  <c r="I29" i="1"/>
  <c r="M29" i="1" s="1"/>
  <c r="J29" i="1" s="1"/>
  <c r="K29" i="1" s="1"/>
  <c r="R29" i="1" s="1"/>
  <c r="O32" i="1"/>
  <c r="Q32" i="1" s="1"/>
  <c r="I31" i="1"/>
  <c r="M31" i="1" s="1"/>
  <c r="J31" i="1" s="1"/>
  <c r="K31" i="1" s="1"/>
  <c r="R31" i="1" s="1"/>
  <c r="I27" i="1"/>
  <c r="M27" i="1" s="1"/>
  <c r="J27" i="1" s="1"/>
  <c r="K27" i="1" s="1"/>
  <c r="R27" i="1" s="1"/>
  <c r="N28" i="1"/>
  <c r="N31" i="1"/>
  <c r="O28" i="1"/>
  <c r="Q28" i="1" s="1"/>
  <c r="I6" i="7"/>
  <c r="O22" i="1"/>
  <c r="N22" i="1"/>
  <c r="I6" i="3"/>
  <c r="H33" i="1"/>
  <c r="O18" i="1"/>
  <c r="N18" i="1"/>
  <c r="I6" i="5"/>
  <c r="O20" i="1"/>
  <c r="N20" i="1"/>
  <c r="I6" i="9"/>
  <c r="O24" i="1"/>
  <c r="N24" i="1"/>
  <c r="I6" i="4"/>
  <c r="N19" i="1"/>
  <c r="O19" i="1"/>
  <c r="I6" i="8"/>
  <c r="N23" i="1"/>
  <c r="O23" i="1"/>
  <c r="P24" i="2"/>
  <c r="O24" i="2"/>
  <c r="N24" i="2"/>
  <c r="M24" i="2"/>
  <c r="L24" i="2"/>
  <c r="Q24" i="2"/>
  <c r="T24" i="2"/>
  <c r="R24" i="2"/>
  <c r="O26" i="1"/>
  <c r="Q26" i="1" s="1"/>
  <c r="N26" i="1"/>
  <c r="C22" i="2"/>
  <c r="C97" i="2"/>
  <c r="C303" i="2"/>
  <c r="H76" i="2"/>
  <c r="G76" i="2"/>
  <c r="V76" i="2"/>
  <c r="F76" i="2"/>
  <c r="E76" i="2"/>
  <c r="T76" i="2"/>
  <c r="D76" i="2"/>
  <c r="N76" i="2"/>
  <c r="M76" i="2"/>
  <c r="S76" i="2"/>
  <c r="Q76" i="2"/>
  <c r="P76" i="2"/>
  <c r="L76" i="2"/>
  <c r="J76" i="2"/>
  <c r="Q55" i="2"/>
  <c r="P55" i="2"/>
  <c r="O55" i="2"/>
  <c r="N55" i="2"/>
  <c r="M55" i="2"/>
  <c r="V55" i="2"/>
  <c r="K55" i="2"/>
  <c r="J55" i="2"/>
  <c r="I55" i="2"/>
  <c r="H55" i="2"/>
  <c r="G55" i="2"/>
  <c r="F55" i="2"/>
  <c r="E55" i="2"/>
  <c r="D55" i="2"/>
  <c r="S55" i="2"/>
  <c r="C56" i="2"/>
  <c r="C21" i="2"/>
  <c r="T36" i="2"/>
  <c r="C172" i="2"/>
  <c r="I76" i="2"/>
  <c r="C31" i="2"/>
  <c r="L55" i="2"/>
  <c r="P17" i="6"/>
  <c r="Q17" i="6" s="1"/>
  <c r="M17" i="6"/>
  <c r="N17" i="6" s="1"/>
  <c r="O17" i="6" s="1"/>
  <c r="C49" i="2"/>
  <c r="C18" i="2"/>
  <c r="N129" i="2"/>
  <c r="M129" i="2"/>
  <c r="L129" i="2"/>
  <c r="K129" i="2"/>
  <c r="J129" i="2"/>
  <c r="O129" i="2"/>
  <c r="I129" i="2"/>
  <c r="H129" i="2"/>
  <c r="G129" i="2"/>
  <c r="F129" i="2"/>
  <c r="T129" i="2"/>
  <c r="S129" i="2"/>
  <c r="R129" i="2"/>
  <c r="V129" i="2"/>
  <c r="P129" i="2"/>
  <c r="D129" i="2"/>
  <c r="R76" i="2"/>
  <c r="R55" i="2"/>
  <c r="C15" i="2"/>
  <c r="C50" i="2"/>
  <c r="C53" i="2"/>
  <c r="C110" i="2"/>
  <c r="E129" i="2"/>
  <c r="G33" i="1"/>
  <c r="C12" i="2"/>
  <c r="K76" i="2"/>
  <c r="P36" i="2"/>
  <c r="O36" i="2"/>
  <c r="N36" i="2"/>
  <c r="M36" i="2"/>
  <c r="L36" i="2"/>
  <c r="C38" i="2"/>
  <c r="C30" i="2"/>
  <c r="R36" i="2"/>
  <c r="O76" i="2"/>
  <c r="C368" i="2"/>
  <c r="C371" i="2"/>
  <c r="C370" i="2"/>
  <c r="C359" i="2"/>
  <c r="C373" i="2"/>
  <c r="C353" i="2"/>
  <c r="C356" i="2"/>
  <c r="C347" i="2"/>
  <c r="C331" i="2"/>
  <c r="C366" i="2"/>
  <c r="C343" i="2"/>
  <c r="C327" i="2"/>
  <c r="C365" i="2"/>
  <c r="C354" i="2"/>
  <c r="C346" i="2"/>
  <c r="C330" i="2"/>
  <c r="C369" i="2"/>
  <c r="C355" i="2"/>
  <c r="C376" i="2"/>
  <c r="C324" i="2"/>
  <c r="C311" i="2"/>
  <c r="C374" i="2"/>
  <c r="C361" i="2"/>
  <c r="C342" i="2"/>
  <c r="C337" i="2"/>
  <c r="C325" i="2"/>
  <c r="C314" i="2"/>
  <c r="C298" i="2"/>
  <c r="C282" i="2"/>
  <c r="C266" i="2"/>
  <c r="C250" i="2"/>
  <c r="C307" i="2"/>
  <c r="C291" i="2"/>
  <c r="C275" i="2"/>
  <c r="C372" i="2"/>
  <c r="C352" i="2"/>
  <c r="C348" i="2"/>
  <c r="C338" i="2"/>
  <c r="C329" i="2"/>
  <c r="C328" i="2"/>
  <c r="C310" i="2"/>
  <c r="C294" i="2"/>
  <c r="C278" i="2"/>
  <c r="C262" i="2"/>
  <c r="C350" i="2"/>
  <c r="C322" i="2"/>
  <c r="C295" i="2"/>
  <c r="C265" i="2"/>
  <c r="C247" i="2"/>
  <c r="C235" i="2"/>
  <c r="C219" i="2"/>
  <c r="C367" i="2"/>
  <c r="C363" i="2"/>
  <c r="C333" i="2"/>
  <c r="C326" i="2"/>
  <c r="C306" i="2"/>
  <c r="C292" i="2"/>
  <c r="C264" i="2"/>
  <c r="C357" i="2"/>
  <c r="C336" i="2"/>
  <c r="C290" i="2"/>
  <c r="C276" i="2"/>
  <c r="C257" i="2"/>
  <c r="C231" i="2"/>
  <c r="C323" i="2"/>
  <c r="C320" i="2"/>
  <c r="C315" i="2"/>
  <c r="C305" i="2"/>
  <c r="C344" i="2"/>
  <c r="C277" i="2"/>
  <c r="C258" i="2"/>
  <c r="C248" i="2"/>
  <c r="C318" i="2"/>
  <c r="C312" i="2"/>
  <c r="C308" i="2"/>
  <c r="C341" i="2"/>
  <c r="C345" i="2"/>
  <c r="C339" i="2"/>
  <c r="C334" i="2"/>
  <c r="C288" i="2"/>
  <c r="C267" i="2"/>
  <c r="C238" i="2"/>
  <c r="C214" i="2"/>
  <c r="C351" i="2"/>
  <c r="C304" i="2"/>
  <c r="C301" i="2"/>
  <c r="C284" i="2"/>
  <c r="C280" i="2"/>
  <c r="C364" i="2"/>
  <c r="C261" i="2"/>
  <c r="C293" i="2"/>
  <c r="C255" i="2"/>
  <c r="C232" i="2"/>
  <c r="C212" i="2"/>
  <c r="C319" i="2"/>
  <c r="C251" i="2"/>
  <c r="C246" i="2"/>
  <c r="C358" i="2"/>
  <c r="C349" i="2"/>
  <c r="C241" i="2"/>
  <c r="C240" i="2"/>
  <c r="C226" i="2"/>
  <c r="C281" i="2"/>
  <c r="C268" i="2"/>
  <c r="C229" i="2"/>
  <c r="C218" i="2"/>
  <c r="C206" i="2"/>
  <c r="C190" i="2"/>
  <c r="C174" i="2"/>
  <c r="C158" i="2"/>
  <c r="C142" i="2"/>
  <c r="C297" i="2"/>
  <c r="C260" i="2"/>
  <c r="C256" i="2"/>
  <c r="C249" i="2"/>
  <c r="C236" i="2"/>
  <c r="C230" i="2"/>
  <c r="C217" i="2"/>
  <c r="C205" i="2"/>
  <c r="C193" i="2"/>
  <c r="C177" i="2"/>
  <c r="C161" i="2"/>
  <c r="C145" i="2"/>
  <c r="C375" i="2"/>
  <c r="C279" i="2"/>
  <c r="C270" i="2"/>
  <c r="C216" i="2"/>
  <c r="C215" i="2"/>
  <c r="C299" i="2"/>
  <c r="C283" i="2"/>
  <c r="C244" i="2"/>
  <c r="C237" i="2"/>
  <c r="C221" i="2"/>
  <c r="C220" i="2"/>
  <c r="C213" i="2"/>
  <c r="C309" i="2"/>
  <c r="C289" i="2"/>
  <c r="C287" i="2"/>
  <c r="C252" i="2"/>
  <c r="C224" i="2"/>
  <c r="C223" i="2"/>
  <c r="C321" i="2"/>
  <c r="C296" i="2"/>
  <c r="C210" i="2"/>
  <c r="C192" i="2"/>
  <c r="C176" i="2"/>
  <c r="C160" i="2"/>
  <c r="C144" i="2"/>
  <c r="C317" i="2"/>
  <c r="C263" i="2"/>
  <c r="C242" i="2"/>
  <c r="C203" i="2"/>
  <c r="C195" i="2"/>
  <c r="C179" i="2"/>
  <c r="C163" i="2"/>
  <c r="C147" i="2"/>
  <c r="C259" i="2"/>
  <c r="C225" i="2"/>
  <c r="C202" i="2"/>
  <c r="C198" i="2"/>
  <c r="C182" i="2"/>
  <c r="C166" i="2"/>
  <c r="C150" i="2"/>
  <c r="C273" i="2"/>
  <c r="C271" i="2"/>
  <c r="C269" i="2"/>
  <c r="C239" i="2"/>
  <c r="C234" i="2"/>
  <c r="C377" i="2"/>
  <c r="C196" i="2"/>
  <c r="C165" i="2"/>
  <c r="C128" i="2"/>
  <c r="C112" i="2"/>
  <c r="C96" i="2"/>
  <c r="C360" i="2"/>
  <c r="C243" i="2"/>
  <c r="C186" i="2"/>
  <c r="C156" i="2"/>
  <c r="C155" i="2"/>
  <c r="C131" i="2"/>
  <c r="C115" i="2"/>
  <c r="C99" i="2"/>
  <c r="C335" i="2"/>
  <c r="C197" i="2"/>
  <c r="C146" i="2"/>
  <c r="C134" i="2"/>
  <c r="C118" i="2"/>
  <c r="C102" i="2"/>
  <c r="C86" i="2"/>
  <c r="C316" i="2"/>
  <c r="C188" i="2"/>
  <c r="C187" i="2"/>
  <c r="C167" i="2"/>
  <c r="C137" i="2"/>
  <c r="C121" i="2"/>
  <c r="C105" i="2"/>
  <c r="C89" i="2"/>
  <c r="C254" i="2"/>
  <c r="C178" i="2"/>
  <c r="C157" i="2"/>
  <c r="C124" i="2"/>
  <c r="C108" i="2"/>
  <c r="C92" i="2"/>
  <c r="C209" i="2"/>
  <c r="C199" i="2"/>
  <c r="C191" i="2"/>
  <c r="C95" i="2"/>
  <c r="C94" i="2"/>
  <c r="C93" i="2"/>
  <c r="C77" i="2"/>
  <c r="C61" i="2"/>
  <c r="C45" i="2"/>
  <c r="C285" i="2"/>
  <c r="C245" i="2"/>
  <c r="C211" i="2"/>
  <c r="C183" i="2"/>
  <c r="C175" i="2"/>
  <c r="C170" i="2"/>
  <c r="C162" i="2"/>
  <c r="C149" i="2"/>
  <c r="C136" i="2"/>
  <c r="C135" i="2"/>
  <c r="C85" i="2"/>
  <c r="C84" i="2"/>
  <c r="C80" i="2"/>
  <c r="C64" i="2"/>
  <c r="C48" i="2"/>
  <c r="C300" i="2"/>
  <c r="C228" i="2"/>
  <c r="C154" i="2"/>
  <c r="C141" i="2"/>
  <c r="C127" i="2"/>
  <c r="C126" i="2"/>
  <c r="C125" i="2"/>
  <c r="C83" i="2"/>
  <c r="C67" i="2"/>
  <c r="C51" i="2"/>
  <c r="C117" i="2"/>
  <c r="C116" i="2"/>
  <c r="C70" i="2"/>
  <c r="C54" i="2"/>
  <c r="C194" i="2"/>
  <c r="C189" i="2"/>
  <c r="C181" i="2"/>
  <c r="C168" i="2"/>
  <c r="C107" i="2"/>
  <c r="C106" i="2"/>
  <c r="C73" i="2"/>
  <c r="C57" i="2"/>
  <c r="C302" i="2"/>
  <c r="C332" i="2"/>
  <c r="C253" i="2"/>
  <c r="C171" i="2"/>
  <c r="C111" i="2"/>
  <c r="C98" i="2"/>
  <c r="C47" i="2"/>
  <c r="C46" i="2"/>
  <c r="C37" i="2"/>
  <c r="C286" i="2"/>
  <c r="C152" i="2"/>
  <c r="C143" i="2"/>
  <c r="C40" i="2"/>
  <c r="C274" i="2"/>
  <c r="C204" i="2"/>
  <c r="C185" i="2"/>
  <c r="C173" i="2"/>
  <c r="C272" i="2"/>
  <c r="C207" i="2"/>
  <c r="C133" i="2"/>
  <c r="C120" i="2"/>
  <c r="C82" i="2"/>
  <c r="C81" i="2"/>
  <c r="C184" i="2"/>
  <c r="C104" i="2"/>
  <c r="C91" i="2"/>
  <c r="C200" i="2"/>
  <c r="C340" i="2"/>
  <c r="C227" i="2"/>
  <c r="C122" i="2"/>
  <c r="C79" i="2"/>
  <c r="C69" i="2"/>
  <c r="C41" i="2"/>
  <c r="C17" i="2"/>
  <c r="C208" i="2"/>
  <c r="C151" i="2"/>
  <c r="C138" i="2"/>
  <c r="C103" i="2"/>
  <c r="C65" i="2"/>
  <c r="C42" i="2"/>
  <c r="C34" i="2"/>
  <c r="C20" i="2"/>
  <c r="C119" i="2"/>
  <c r="C33" i="2"/>
  <c r="C23" i="2"/>
  <c r="C62" i="2"/>
  <c r="C58" i="2"/>
  <c r="C43" i="2"/>
  <c r="C26" i="2"/>
  <c r="C140" i="2"/>
  <c r="C66" i="2"/>
  <c r="C39" i="2"/>
  <c r="C29" i="2"/>
  <c r="C13" i="2"/>
  <c r="C201" i="2"/>
  <c r="C164" i="2"/>
  <c r="C114" i="2"/>
  <c r="C100" i="2"/>
  <c r="C88" i="2"/>
  <c r="C44" i="2"/>
  <c r="C32" i="2"/>
  <c r="C16" i="2"/>
  <c r="C130" i="2"/>
  <c r="C63" i="2"/>
  <c r="C59" i="2"/>
  <c r="C19" i="2"/>
  <c r="C233" i="2"/>
  <c r="C153" i="2"/>
  <c r="C139" i="2"/>
  <c r="C109" i="2"/>
  <c r="C74" i="2"/>
  <c r="C25" i="2"/>
  <c r="C222" i="2"/>
  <c r="C90" i="2"/>
  <c r="C60" i="2"/>
  <c r="C362" i="2"/>
  <c r="C313" i="2"/>
  <c r="C169" i="2"/>
  <c r="C159" i="2"/>
  <c r="C78" i="2"/>
  <c r="C75" i="2"/>
  <c r="C180" i="2"/>
  <c r="C113" i="2"/>
  <c r="C101" i="2"/>
  <c r="C87" i="2"/>
  <c r="C72" i="2"/>
  <c r="C68" i="2"/>
  <c r="C28" i="2"/>
  <c r="Q36" i="2"/>
  <c r="C27" i="2"/>
  <c r="C35" i="2"/>
  <c r="C52" i="2"/>
  <c r="C123" i="2"/>
  <c r="O30" i="1"/>
  <c r="Q30" i="1" s="1"/>
  <c r="N30" i="1"/>
  <c r="C132" i="2"/>
  <c r="C14" i="2"/>
  <c r="C71" i="2"/>
  <c r="C148" i="2"/>
  <c r="L24" i="4"/>
  <c r="N21" i="1"/>
  <c r="N25" i="1"/>
  <c r="N29" i="1"/>
  <c r="O21" i="1"/>
  <c r="Q21" i="1" s="1"/>
  <c r="O25" i="1"/>
  <c r="Q25" i="1" s="1"/>
  <c r="P19" i="7"/>
  <c r="Q19" i="7" s="1"/>
  <c r="M19" i="7"/>
  <c r="N19" i="7" s="1"/>
  <c r="O19" i="7" s="1"/>
  <c r="P19" i="5"/>
  <c r="Q19" i="5" s="1"/>
  <c r="M19" i="5"/>
  <c r="N19" i="5" s="1"/>
  <c r="O19" i="5" s="1"/>
  <c r="L22" i="3"/>
  <c r="P26" i="5"/>
  <c r="Q26" i="5" s="1"/>
  <c r="M26" i="5"/>
  <c r="N26" i="5" s="1"/>
  <c r="O26" i="5" s="1"/>
  <c r="M31" i="6"/>
  <c r="N31" i="6" s="1"/>
  <c r="O31" i="6" s="1"/>
  <c r="P16" i="9"/>
  <c r="M16" i="9"/>
  <c r="N16" i="9" s="1"/>
  <c r="O16" i="9" s="1"/>
  <c r="I35" i="3"/>
  <c r="L35" i="3" s="1"/>
  <c r="I28" i="3"/>
  <c r="I19" i="3"/>
  <c r="I37" i="3"/>
  <c r="L37" i="3" s="1"/>
  <c r="I34" i="3"/>
  <c r="I31" i="3"/>
  <c r="I17" i="3"/>
  <c r="I14" i="3"/>
  <c r="L14" i="3" s="1"/>
  <c r="I30" i="3"/>
  <c r="L30" i="3" s="1"/>
  <c r="I16" i="3"/>
  <c r="I33" i="3"/>
  <c r="I32" i="3"/>
  <c r="I21" i="3"/>
  <c r="L21" i="3" s="1"/>
  <c r="F9" i="3"/>
  <c r="I36" i="3"/>
  <c r="I20" i="3"/>
  <c r="I24" i="3"/>
  <c r="L24" i="3" s="1"/>
  <c r="I38" i="3"/>
  <c r="I15" i="3"/>
  <c r="L15" i="3" s="1"/>
  <c r="I26" i="3"/>
  <c r="L26" i="3" s="1"/>
  <c r="I29" i="3"/>
  <c r="L29" i="3" s="1"/>
  <c r="I27" i="3"/>
  <c r="L27" i="3" s="1"/>
  <c r="I25" i="3"/>
  <c r="P23" i="4"/>
  <c r="Q23" i="4" s="1"/>
  <c r="P22" i="8"/>
  <c r="Q22" i="8" s="1"/>
  <c r="M22" i="8"/>
  <c r="N22" i="8" s="1"/>
  <c r="O22" i="8" s="1"/>
  <c r="M26" i="9"/>
  <c r="N26" i="9" s="1"/>
  <c r="O26" i="9" s="1"/>
  <c r="L27" i="5"/>
  <c r="P21" i="4"/>
  <c r="Q21" i="4" s="1"/>
  <c r="M21" i="4"/>
  <c r="N21" i="4" s="1"/>
  <c r="O21" i="4" s="1"/>
  <c r="J36" i="5"/>
  <c r="L36" i="5" s="1"/>
  <c r="J31" i="5"/>
  <c r="L31" i="5" s="1"/>
  <c r="J28" i="5"/>
  <c r="L28" i="5" s="1"/>
  <c r="J23" i="5"/>
  <c r="L23" i="5" s="1"/>
  <c r="J20" i="5"/>
  <c r="J15" i="5"/>
  <c r="J30" i="5"/>
  <c r="L30" i="5" s="1"/>
  <c r="J24" i="5"/>
  <c r="J18" i="5"/>
  <c r="J33" i="5"/>
  <c r="L33" i="5" s="1"/>
  <c r="J27" i="5"/>
  <c r="J21" i="5"/>
  <c r="J32" i="5"/>
  <c r="L32" i="5" s="1"/>
  <c r="J29" i="5"/>
  <c r="J14" i="5"/>
  <c r="J25" i="5"/>
  <c r="J17" i="5"/>
  <c r="J38" i="5"/>
  <c r="L38" i="5" s="1"/>
  <c r="J35" i="5"/>
  <c r="L35" i="5" s="1"/>
  <c r="J34" i="5"/>
  <c r="L34" i="5" s="1"/>
  <c r="J37" i="5"/>
  <c r="L37" i="5" s="1"/>
  <c r="J16" i="5"/>
  <c r="P20" i="8"/>
  <c r="Q20" i="8" s="1"/>
  <c r="M20" i="8"/>
  <c r="N20" i="8" s="1"/>
  <c r="O20" i="8" s="1"/>
  <c r="P36" i="9"/>
  <c r="Q36" i="9" s="1"/>
  <c r="M36" i="9"/>
  <c r="N36" i="9" s="1"/>
  <c r="O36" i="9" s="1"/>
  <c r="J38" i="3"/>
  <c r="J36" i="3"/>
  <c r="J34" i="3"/>
  <c r="J32" i="3"/>
  <c r="J30" i="3"/>
  <c r="J28" i="3"/>
  <c r="J26" i="3"/>
  <c r="J24" i="3"/>
  <c r="J22" i="3"/>
  <c r="J20" i="3"/>
  <c r="J18" i="3"/>
  <c r="L18" i="3" s="1"/>
  <c r="J16" i="3"/>
  <c r="J14" i="3"/>
  <c r="J37" i="3"/>
  <c r="J31" i="3"/>
  <c r="J23" i="3"/>
  <c r="L23" i="3" s="1"/>
  <c r="J17" i="3"/>
  <c r="J25" i="3"/>
  <c r="J33" i="3"/>
  <c r="J19" i="3"/>
  <c r="J29" i="3"/>
  <c r="M16" i="4"/>
  <c r="N16" i="4" s="1"/>
  <c r="O16" i="4" s="1"/>
  <c r="P16" i="4"/>
  <c r="Q16" i="4" s="1"/>
  <c r="P34" i="8"/>
  <c r="Q34" i="8" s="1"/>
  <c r="M34" i="8"/>
  <c r="N34" i="8" s="1"/>
  <c r="O34" i="8" s="1"/>
  <c r="L21" i="10"/>
  <c r="P20" i="4"/>
  <c r="Q20" i="4" s="1"/>
  <c r="P34" i="9"/>
  <c r="Q34" i="9" s="1"/>
  <c r="M34" i="9"/>
  <c r="N34" i="9" s="1"/>
  <c r="O34" i="9" s="1"/>
  <c r="J37" i="4"/>
  <c r="J35" i="4"/>
  <c r="J33" i="4"/>
  <c r="J31" i="4"/>
  <c r="J29" i="4"/>
  <c r="J27" i="4"/>
  <c r="J25" i="4"/>
  <c r="L25" i="4" s="1"/>
  <c r="J34" i="4"/>
  <c r="J26" i="4"/>
  <c r="J22" i="4"/>
  <c r="J15" i="4"/>
  <c r="J36" i="4"/>
  <c r="L36" i="4" s="1"/>
  <c r="J30" i="4"/>
  <c r="J17" i="4"/>
  <c r="L17" i="4" s="1"/>
  <c r="J38" i="4"/>
  <c r="L38" i="4" s="1"/>
  <c r="I37" i="8"/>
  <c r="L37" i="8" s="1"/>
  <c r="I35" i="8"/>
  <c r="I33" i="8"/>
  <c r="L33" i="8" s="1"/>
  <c r="I31" i="8"/>
  <c r="I29" i="8"/>
  <c r="I27" i="8"/>
  <c r="I25" i="8"/>
  <c r="I23" i="8"/>
  <c r="I21" i="8"/>
  <c r="I19" i="8"/>
  <c r="I17" i="8"/>
  <c r="I15" i="8"/>
  <c r="I18" i="8"/>
  <c r="L18" i="8" s="1"/>
  <c r="I30" i="8"/>
  <c r="I36" i="8"/>
  <c r="L36" i="8" s="1"/>
  <c r="I14" i="8"/>
  <c r="L14" i="8" s="1"/>
  <c r="I32" i="8"/>
  <c r="L32" i="8" s="1"/>
  <c r="F9" i="8"/>
  <c r="I38" i="8"/>
  <c r="L38" i="8" s="1"/>
  <c r="I24" i="8"/>
  <c r="L24" i="8" s="1"/>
  <c r="I26" i="8"/>
  <c r="L26" i="8" s="1"/>
  <c r="L18" i="4"/>
  <c r="F9" i="7"/>
  <c r="I37" i="7"/>
  <c r="I32" i="7"/>
  <c r="L32" i="7" s="1"/>
  <c r="I29" i="7"/>
  <c r="L29" i="7" s="1"/>
  <c r="I24" i="7"/>
  <c r="L24" i="7" s="1"/>
  <c r="I21" i="7"/>
  <c r="L21" i="7" s="1"/>
  <c r="I16" i="7"/>
  <c r="L16" i="7" s="1"/>
  <c r="I34" i="7"/>
  <c r="L34" i="7" s="1"/>
  <c r="I31" i="7"/>
  <c r="L31" i="7" s="1"/>
  <c r="I26" i="7"/>
  <c r="L26" i="7" s="1"/>
  <c r="I23" i="7"/>
  <c r="L23" i="7" s="1"/>
  <c r="I18" i="7"/>
  <c r="I15" i="7"/>
  <c r="I38" i="7"/>
  <c r="L38" i="7" s="1"/>
  <c r="I28" i="7"/>
  <c r="L28" i="7" s="1"/>
  <c r="I36" i="7"/>
  <c r="L36" i="7" s="1"/>
  <c r="I35" i="7"/>
  <c r="I27" i="7"/>
  <c r="L27" i="7" s="1"/>
  <c r="L19" i="10"/>
  <c r="I17" i="7"/>
  <c r="L17" i="7" s="1"/>
  <c r="I22" i="7"/>
  <c r="L22" i="7" s="1"/>
  <c r="L21" i="5"/>
  <c r="L20" i="5"/>
  <c r="I30" i="4"/>
  <c r="P38" i="10"/>
  <c r="Q38" i="10" s="1"/>
  <c r="M38" i="10"/>
  <c r="N38" i="10" s="1"/>
  <c r="O38" i="10" s="1"/>
  <c r="I37" i="4"/>
  <c r="I35" i="4"/>
  <c r="I33" i="4"/>
  <c r="I31" i="4"/>
  <c r="L31" i="4" s="1"/>
  <c r="I29" i="4"/>
  <c r="L29" i="4" s="1"/>
  <c r="I27" i="4"/>
  <c r="L27" i="4" s="1"/>
  <c r="F9" i="4"/>
  <c r="I34" i="4"/>
  <c r="I26" i="4"/>
  <c r="I15" i="4"/>
  <c r="L15" i="4" s="1"/>
  <c r="I22" i="4"/>
  <c r="I38" i="6"/>
  <c r="I36" i="6"/>
  <c r="I34" i="6"/>
  <c r="I32" i="6"/>
  <c r="I30" i="6"/>
  <c r="I28" i="6"/>
  <c r="I26" i="6"/>
  <c r="I24" i="6"/>
  <c r="I22" i="6"/>
  <c r="I20" i="6"/>
  <c r="I18" i="6"/>
  <c r="I16" i="6"/>
  <c r="I14" i="6"/>
  <c r="I29" i="6"/>
  <c r="L29" i="6" s="1"/>
  <c r="J15" i="6"/>
  <c r="L15" i="6" s="1"/>
  <c r="J23" i="6"/>
  <c r="J38" i="6"/>
  <c r="J36" i="6"/>
  <c r="J34" i="6"/>
  <c r="J32" i="6"/>
  <c r="J30" i="6"/>
  <c r="J28" i="6"/>
  <c r="J26" i="6"/>
  <c r="J24" i="6"/>
  <c r="J22" i="6"/>
  <c r="J20" i="6"/>
  <c r="J18" i="6"/>
  <c r="J16" i="6"/>
  <c r="J14" i="6"/>
  <c r="J15" i="10"/>
  <c r="L15" i="10" s="1"/>
  <c r="J17" i="10"/>
  <c r="L17" i="10" s="1"/>
  <c r="J19" i="10"/>
  <c r="J21" i="10"/>
  <c r="J23" i="10"/>
  <c r="L23" i="10" s="1"/>
  <c r="J25" i="10"/>
  <c r="L25" i="10" s="1"/>
  <c r="J27" i="10"/>
  <c r="L27" i="10" s="1"/>
  <c r="J29" i="10"/>
  <c r="L29" i="10" s="1"/>
  <c r="J31" i="10"/>
  <c r="L31" i="10" s="1"/>
  <c r="J33" i="10"/>
  <c r="L33" i="10" s="1"/>
  <c r="J35" i="10"/>
  <c r="L35" i="10" s="1"/>
  <c r="J37" i="10"/>
  <c r="L37" i="10" s="1"/>
  <c r="I14" i="10"/>
  <c r="I16" i="10"/>
  <c r="I18" i="10"/>
  <c r="I20" i="10"/>
  <c r="I22" i="10"/>
  <c r="I24" i="10"/>
  <c r="I26" i="10"/>
  <c r="I28" i="10"/>
  <c r="I30" i="10"/>
  <c r="I32" i="10"/>
  <c r="I34" i="10"/>
  <c r="I36" i="10"/>
  <c r="J15" i="8"/>
  <c r="J17" i="8"/>
  <c r="J19" i="8"/>
  <c r="J21" i="8"/>
  <c r="J23" i="8"/>
  <c r="J25" i="8"/>
  <c r="J27" i="8"/>
  <c r="J29" i="8"/>
  <c r="J31" i="8"/>
  <c r="J33" i="8"/>
  <c r="J35" i="8"/>
  <c r="J14" i="10"/>
  <c r="J16" i="10"/>
  <c r="J18" i="10"/>
  <c r="J20" i="10"/>
  <c r="J22" i="10"/>
  <c r="J24" i="10"/>
  <c r="J26" i="10"/>
  <c r="J28" i="10"/>
  <c r="J30" i="10"/>
  <c r="J32" i="10"/>
  <c r="J34" i="10"/>
  <c r="J36" i="10"/>
  <c r="I15" i="9"/>
  <c r="I17" i="9"/>
  <c r="L17" i="9" s="1"/>
  <c r="I19" i="9"/>
  <c r="L19" i="9" s="1"/>
  <c r="I21" i="9"/>
  <c r="I23" i="9"/>
  <c r="I25" i="9"/>
  <c r="L25" i="9" s="1"/>
  <c r="I27" i="9"/>
  <c r="L27" i="9" s="1"/>
  <c r="I29" i="9"/>
  <c r="I31" i="9"/>
  <c r="L31" i="9" s="1"/>
  <c r="I33" i="9"/>
  <c r="L33" i="9" s="1"/>
  <c r="I35" i="9"/>
  <c r="L35" i="9" s="1"/>
  <c r="L21" i="1"/>
  <c r="L25" i="1"/>
  <c r="K24" i="2"/>
  <c r="G36" i="2"/>
  <c r="E36" i="2"/>
  <c r="D36" i="2"/>
  <c r="J24" i="2"/>
  <c r="H24" i="2"/>
  <c r="I36" i="2"/>
  <c r="F24" i="2"/>
  <c r="I22" i="1"/>
  <c r="I20" i="1"/>
  <c r="D24" i="2"/>
  <c r="I24" i="2"/>
  <c r="I19" i="1"/>
  <c r="G24" i="2"/>
  <c r="K36" i="2"/>
  <c r="J36" i="2"/>
  <c r="I18" i="1"/>
  <c r="I23" i="1"/>
  <c r="F36" i="2"/>
  <c r="E24" i="2"/>
  <c r="I24" i="1"/>
  <c r="H36" i="2"/>
  <c r="M28" i="8" l="1"/>
  <c r="N28" i="8" s="1"/>
  <c r="O28" i="8" s="1"/>
  <c r="P28" i="8"/>
  <c r="Q28" i="8" s="1"/>
  <c r="L15" i="9"/>
  <c r="M28" i="4"/>
  <c r="N28" i="4" s="1"/>
  <c r="O28" i="4" s="1"/>
  <c r="P28" i="4"/>
  <c r="Q28" i="4" s="1"/>
  <c r="L25" i="3"/>
  <c r="P14" i="9"/>
  <c r="M14" i="9"/>
  <c r="N14" i="9" s="1"/>
  <c r="O14" i="9" s="1"/>
  <c r="L34" i="3"/>
  <c r="L25" i="5"/>
  <c r="L28" i="3"/>
  <c r="M32" i="4"/>
  <c r="N32" i="4" s="1"/>
  <c r="O32" i="4" s="1"/>
  <c r="L37" i="7"/>
  <c r="L37" i="6"/>
  <c r="P37" i="6" s="1"/>
  <c r="Q37" i="6" s="1"/>
  <c r="L16" i="6"/>
  <c r="L30" i="8"/>
  <c r="P30" i="8" s="1"/>
  <c r="Q30" i="8" s="1"/>
  <c r="L31" i="8"/>
  <c r="M14" i="4"/>
  <c r="N14" i="4" s="1"/>
  <c r="O14" i="4" s="1"/>
  <c r="P14" i="4"/>
  <c r="L22" i="6"/>
  <c r="L17" i="5"/>
  <c r="L19" i="3"/>
  <c r="L32" i="9"/>
  <c r="L33" i="4"/>
  <c r="P33" i="4" s="1"/>
  <c r="Q33" i="4" s="1"/>
  <c r="L36" i="10"/>
  <c r="L35" i="4"/>
  <c r="L29" i="5"/>
  <c r="P29" i="5" s="1"/>
  <c r="Q29" i="5" s="1"/>
  <c r="M18" i="9"/>
  <c r="N18" i="9" s="1"/>
  <c r="O18" i="9" s="1"/>
  <c r="L29" i="9"/>
  <c r="L34" i="10"/>
  <c r="P34" i="10" s="1"/>
  <c r="Q34" i="10" s="1"/>
  <c r="L37" i="4"/>
  <c r="M38" i="9"/>
  <c r="N38" i="9" s="1"/>
  <c r="O38" i="9" s="1"/>
  <c r="M25" i="7"/>
  <c r="N25" i="7" s="1"/>
  <c r="O25" i="7" s="1"/>
  <c r="L33" i="7"/>
  <c r="P14" i="7"/>
  <c r="M14" i="7"/>
  <c r="N14" i="7" s="1"/>
  <c r="O14" i="7" s="1"/>
  <c r="L22" i="9"/>
  <c r="L33" i="6"/>
  <c r="L23" i="8"/>
  <c r="L23" i="9"/>
  <c r="M23" i="9" s="1"/>
  <c r="N23" i="9" s="1"/>
  <c r="O23" i="9" s="1"/>
  <c r="L30" i="4"/>
  <c r="L15" i="7"/>
  <c r="L25" i="8"/>
  <c r="P25" i="8" s="1"/>
  <c r="Q25" i="8" s="1"/>
  <c r="M20" i="9"/>
  <c r="N20" i="9" s="1"/>
  <c r="O20" i="9" s="1"/>
  <c r="M22" i="5"/>
  <c r="N22" i="5" s="1"/>
  <c r="O22" i="5" s="1"/>
  <c r="P21" i="6"/>
  <c r="Q21" i="6" s="1"/>
  <c r="L30" i="10"/>
  <c r="L21" i="9"/>
  <c r="P21" i="9" s="1"/>
  <c r="Q21" i="9" s="1"/>
  <c r="L18" i="7"/>
  <c r="L27" i="8"/>
  <c r="L18" i="5"/>
  <c r="L24" i="9"/>
  <c r="L27" i="6"/>
  <c r="M27" i="6" s="1"/>
  <c r="N27" i="6" s="1"/>
  <c r="O27" i="6" s="1"/>
  <c r="L14" i="5"/>
  <c r="L35" i="7"/>
  <c r="L32" i="10"/>
  <c r="M32" i="10" s="1"/>
  <c r="N32" i="10" s="1"/>
  <c r="O32" i="10" s="1"/>
  <c r="L21" i="8"/>
  <c r="L29" i="8"/>
  <c r="P29" i="8" s="1"/>
  <c r="Q29" i="8" s="1"/>
  <c r="L24" i="5"/>
  <c r="L20" i="6"/>
  <c r="L32" i="6"/>
  <c r="P27" i="6"/>
  <c r="Q27" i="6" s="1"/>
  <c r="P19" i="6"/>
  <c r="Q19" i="6" s="1"/>
  <c r="M19" i="6"/>
  <c r="N19" i="6" s="1"/>
  <c r="O19" i="6" s="1"/>
  <c r="M25" i="6"/>
  <c r="N25" i="6" s="1"/>
  <c r="O25" i="6" s="1"/>
  <c r="I8" i="10"/>
  <c r="I8" i="6"/>
  <c r="I7" i="10"/>
  <c r="I7" i="6"/>
  <c r="P24" i="1"/>
  <c r="M24" i="1"/>
  <c r="J24" i="1" s="1"/>
  <c r="K24" i="1" s="1"/>
  <c r="P23" i="1"/>
  <c r="Q23" i="1" s="1"/>
  <c r="M23" i="1"/>
  <c r="J23" i="1" s="1"/>
  <c r="K23" i="1" s="1"/>
  <c r="I33" i="1"/>
  <c r="U320" i="2" s="1"/>
  <c r="P18" i="1"/>
  <c r="Q18" i="1" s="1"/>
  <c r="M18" i="1"/>
  <c r="J18" i="1" s="1"/>
  <c r="P19" i="1"/>
  <c r="Q19" i="1" s="1"/>
  <c r="M19" i="1"/>
  <c r="J19" i="1" s="1"/>
  <c r="K19" i="1" s="1"/>
  <c r="S24" i="2"/>
  <c r="M20" i="1"/>
  <c r="J20" i="1" s="1"/>
  <c r="K20" i="1" s="1"/>
  <c r="P20" i="1"/>
  <c r="Q20" i="1" s="1"/>
  <c r="P22" i="1"/>
  <c r="Q22" i="1" s="1"/>
  <c r="M22" i="1"/>
  <c r="J22" i="1" s="1"/>
  <c r="K22" i="1" s="1"/>
  <c r="S36" i="2"/>
  <c r="P17" i="10"/>
  <c r="Q17" i="10" s="1"/>
  <c r="M17" i="10"/>
  <c r="N17" i="10" s="1"/>
  <c r="O17" i="10" s="1"/>
  <c r="P38" i="4"/>
  <c r="Q38" i="4" s="1"/>
  <c r="M38" i="4"/>
  <c r="N38" i="4" s="1"/>
  <c r="O38" i="4" s="1"/>
  <c r="P33" i="5"/>
  <c r="Q33" i="5" s="1"/>
  <c r="M33" i="5"/>
  <c r="N33" i="5" s="1"/>
  <c r="O33" i="5" s="1"/>
  <c r="P17" i="4"/>
  <c r="Q17" i="4" s="1"/>
  <c r="M17" i="4"/>
  <c r="N17" i="4" s="1"/>
  <c r="O17" i="4" s="1"/>
  <c r="P35" i="5"/>
  <c r="Q35" i="5" s="1"/>
  <c r="M35" i="5"/>
  <c r="N35" i="5" s="1"/>
  <c r="O35" i="5" s="1"/>
  <c r="M29" i="10"/>
  <c r="N29" i="10" s="1"/>
  <c r="O29" i="10" s="1"/>
  <c r="P29" i="10"/>
  <c r="Q29" i="10" s="1"/>
  <c r="P23" i="3"/>
  <c r="Q23" i="3" s="1"/>
  <c r="M23" i="3"/>
  <c r="N23" i="3" s="1"/>
  <c r="O23" i="3" s="1"/>
  <c r="P36" i="5"/>
  <c r="Q36" i="5" s="1"/>
  <c r="M36" i="5"/>
  <c r="N36" i="5" s="1"/>
  <c r="O36" i="5" s="1"/>
  <c r="M35" i="10"/>
  <c r="N35" i="10" s="1"/>
  <c r="O35" i="10" s="1"/>
  <c r="P35" i="10"/>
  <c r="Q35" i="10" s="1"/>
  <c r="P25" i="5"/>
  <c r="Q25" i="5" s="1"/>
  <c r="M25" i="5"/>
  <c r="N25" i="5" s="1"/>
  <c r="O25" i="5" s="1"/>
  <c r="P34" i="5"/>
  <c r="Q34" i="5" s="1"/>
  <c r="M34" i="5"/>
  <c r="N34" i="5" s="1"/>
  <c r="O34" i="5" s="1"/>
  <c r="M33" i="10"/>
  <c r="N33" i="10" s="1"/>
  <c r="O33" i="10" s="1"/>
  <c r="P33" i="10"/>
  <c r="Q33" i="10" s="1"/>
  <c r="M31" i="5"/>
  <c r="N31" i="5" s="1"/>
  <c r="O31" i="5" s="1"/>
  <c r="P31" i="5"/>
  <c r="Q31" i="5" s="1"/>
  <c r="M27" i="10"/>
  <c r="N27" i="10" s="1"/>
  <c r="O27" i="10" s="1"/>
  <c r="P27" i="10"/>
  <c r="Q27" i="10" s="1"/>
  <c r="M25" i="10"/>
  <c r="N25" i="10" s="1"/>
  <c r="O25" i="10" s="1"/>
  <c r="P25" i="10"/>
  <c r="Q25" i="10" s="1"/>
  <c r="P15" i="10"/>
  <c r="Q15" i="10" s="1"/>
  <c r="M15" i="10"/>
  <c r="N15" i="10" s="1"/>
  <c r="O15" i="10" s="1"/>
  <c r="P28" i="5"/>
  <c r="Q28" i="5" s="1"/>
  <c r="M28" i="5"/>
  <c r="N28" i="5" s="1"/>
  <c r="O28" i="5" s="1"/>
  <c r="P15" i="6"/>
  <c r="Q15" i="6" s="1"/>
  <c r="M15" i="6"/>
  <c r="N15" i="6" s="1"/>
  <c r="O15" i="6" s="1"/>
  <c r="P23" i="5"/>
  <c r="Q23" i="5" s="1"/>
  <c r="M23" i="5"/>
  <c r="N23" i="5" s="1"/>
  <c r="O23" i="5" s="1"/>
  <c r="P38" i="5"/>
  <c r="Q38" i="5" s="1"/>
  <c r="M38" i="5"/>
  <c r="N38" i="5" s="1"/>
  <c r="O38" i="5" s="1"/>
  <c r="M25" i="4"/>
  <c r="N25" i="4" s="1"/>
  <c r="O25" i="4" s="1"/>
  <c r="P25" i="4"/>
  <c r="Q25" i="4" s="1"/>
  <c r="P31" i="10"/>
  <c r="Q31" i="10" s="1"/>
  <c r="M31" i="10"/>
  <c r="N31" i="10" s="1"/>
  <c r="O31" i="10" s="1"/>
  <c r="M18" i="3"/>
  <c r="N18" i="3" s="1"/>
  <c r="O18" i="3" s="1"/>
  <c r="P18" i="3"/>
  <c r="Q18" i="3" s="1"/>
  <c r="P23" i="10"/>
  <c r="Q23" i="10" s="1"/>
  <c r="M23" i="10"/>
  <c r="N23" i="10" s="1"/>
  <c r="O23" i="10" s="1"/>
  <c r="M18" i="7"/>
  <c r="N18" i="7" s="1"/>
  <c r="O18" i="7" s="1"/>
  <c r="P18" i="7"/>
  <c r="Q18" i="7" s="1"/>
  <c r="P18" i="4"/>
  <c r="Q18" i="4" s="1"/>
  <c r="M18" i="4"/>
  <c r="N18" i="4" s="1"/>
  <c r="O18" i="4" s="1"/>
  <c r="L19" i="8"/>
  <c r="P30" i="3"/>
  <c r="Q30" i="3" s="1"/>
  <c r="M30" i="3"/>
  <c r="N30" i="3" s="1"/>
  <c r="O30" i="3" s="1"/>
  <c r="L28" i="2"/>
  <c r="T28" i="2"/>
  <c r="N28" i="2"/>
  <c r="O28" i="2"/>
  <c r="M28" i="2"/>
  <c r="R28" i="2"/>
  <c r="Q28" i="2"/>
  <c r="P28" i="2"/>
  <c r="T222" i="2"/>
  <c r="D222" i="2"/>
  <c r="P222" i="2"/>
  <c r="J222" i="2"/>
  <c r="R222" i="2"/>
  <c r="Q222" i="2"/>
  <c r="H222" i="2"/>
  <c r="G222" i="2"/>
  <c r="F222" i="2"/>
  <c r="E222" i="2"/>
  <c r="V222" i="2"/>
  <c r="N222" i="2"/>
  <c r="O222" i="2"/>
  <c r="M222" i="2"/>
  <c r="L222" i="2"/>
  <c r="S222" i="2"/>
  <c r="K222" i="2"/>
  <c r="I222" i="2"/>
  <c r="I114" i="2"/>
  <c r="H114" i="2"/>
  <c r="G114" i="2"/>
  <c r="V114" i="2"/>
  <c r="F114" i="2"/>
  <c r="U114" i="2"/>
  <c r="E114" i="2"/>
  <c r="T114" i="2"/>
  <c r="S114" i="2"/>
  <c r="R114" i="2"/>
  <c r="L114" i="2"/>
  <c r="K114" i="2"/>
  <c r="O114" i="2"/>
  <c r="N114" i="2"/>
  <c r="M114" i="2"/>
  <c r="J114" i="2"/>
  <c r="D114" i="2"/>
  <c r="P114" i="2"/>
  <c r="Q114" i="2"/>
  <c r="R34" i="2"/>
  <c r="Q34" i="2"/>
  <c r="T34" i="2"/>
  <c r="P34" i="2"/>
  <c r="O34" i="2"/>
  <c r="N34" i="2"/>
  <c r="L34" i="2"/>
  <c r="M34" i="2"/>
  <c r="K104" i="2"/>
  <c r="J104" i="2"/>
  <c r="I104" i="2"/>
  <c r="H104" i="2"/>
  <c r="G104" i="2"/>
  <c r="V104" i="2"/>
  <c r="T104" i="2"/>
  <c r="S104" i="2"/>
  <c r="P104" i="2"/>
  <c r="O104" i="2"/>
  <c r="D104" i="2"/>
  <c r="R104" i="2"/>
  <c r="Q104" i="2"/>
  <c r="N104" i="2"/>
  <c r="M104" i="2"/>
  <c r="L104" i="2"/>
  <c r="F104" i="2"/>
  <c r="E104" i="2"/>
  <c r="R37" i="2"/>
  <c r="M37" i="2"/>
  <c r="L37" i="2"/>
  <c r="P37" i="2"/>
  <c r="N37" i="2"/>
  <c r="O37" i="2"/>
  <c r="T37" i="2"/>
  <c r="Q37" i="2"/>
  <c r="O194" i="2"/>
  <c r="N194" i="2"/>
  <c r="I194" i="2"/>
  <c r="H194" i="2"/>
  <c r="G194" i="2"/>
  <c r="T194" i="2"/>
  <c r="S194" i="2"/>
  <c r="R194" i="2"/>
  <c r="Q194" i="2"/>
  <c r="J194" i="2"/>
  <c r="F194" i="2"/>
  <c r="E194" i="2"/>
  <c r="D194" i="2"/>
  <c r="M194" i="2"/>
  <c r="L194" i="2"/>
  <c r="K194" i="2"/>
  <c r="P194" i="2"/>
  <c r="V194" i="2"/>
  <c r="T64" i="2"/>
  <c r="D64" i="2"/>
  <c r="S64" i="2"/>
  <c r="R64" i="2"/>
  <c r="Q64" i="2"/>
  <c r="P64" i="2"/>
  <c r="V64" i="2"/>
  <c r="J64" i="2"/>
  <c r="O64" i="2"/>
  <c r="N64" i="2"/>
  <c r="M64" i="2"/>
  <c r="L64" i="2"/>
  <c r="I64" i="2"/>
  <c r="H64" i="2"/>
  <c r="F64" i="2"/>
  <c r="E64" i="2"/>
  <c r="G64" i="2"/>
  <c r="K64" i="2"/>
  <c r="S77" i="2"/>
  <c r="R77" i="2"/>
  <c r="Q77" i="2"/>
  <c r="P77" i="2"/>
  <c r="O77" i="2"/>
  <c r="E77" i="2"/>
  <c r="D77" i="2"/>
  <c r="N77" i="2"/>
  <c r="M77" i="2"/>
  <c r="L77" i="2"/>
  <c r="K77" i="2"/>
  <c r="J77" i="2"/>
  <c r="I77" i="2"/>
  <c r="H77" i="2"/>
  <c r="G77" i="2"/>
  <c r="F77" i="2"/>
  <c r="V77" i="2"/>
  <c r="T77" i="2"/>
  <c r="V137" i="2"/>
  <c r="F137" i="2"/>
  <c r="E137" i="2"/>
  <c r="T137" i="2"/>
  <c r="D137" i="2"/>
  <c r="S137" i="2"/>
  <c r="R137" i="2"/>
  <c r="I137" i="2"/>
  <c r="H137" i="2"/>
  <c r="G137" i="2"/>
  <c r="Q137" i="2"/>
  <c r="P137" i="2"/>
  <c r="O137" i="2"/>
  <c r="N137" i="2"/>
  <c r="M137" i="2"/>
  <c r="L137" i="2"/>
  <c r="K137" i="2"/>
  <c r="J137" i="2"/>
  <c r="M156" i="2"/>
  <c r="L156" i="2"/>
  <c r="G156" i="2"/>
  <c r="V156" i="2"/>
  <c r="F156" i="2"/>
  <c r="E156" i="2"/>
  <c r="D156" i="2"/>
  <c r="T156" i="2"/>
  <c r="S156" i="2"/>
  <c r="R156" i="2"/>
  <c r="Q156" i="2"/>
  <c r="P156" i="2"/>
  <c r="H156" i="2"/>
  <c r="O156" i="2"/>
  <c r="N156" i="2"/>
  <c r="K156" i="2"/>
  <c r="J156" i="2"/>
  <c r="I156" i="2"/>
  <c r="K166" i="2"/>
  <c r="J166" i="2"/>
  <c r="E166" i="2"/>
  <c r="T166" i="2"/>
  <c r="D166" i="2"/>
  <c r="S166" i="2"/>
  <c r="F166" i="2"/>
  <c r="R166" i="2"/>
  <c r="Q166" i="2"/>
  <c r="P166" i="2"/>
  <c r="O166" i="2"/>
  <c r="N166" i="2"/>
  <c r="I166" i="2"/>
  <c r="H166" i="2"/>
  <c r="V166" i="2"/>
  <c r="M166" i="2"/>
  <c r="L166" i="2"/>
  <c r="G166" i="2"/>
  <c r="I176" i="2"/>
  <c r="H176" i="2"/>
  <c r="S176" i="2"/>
  <c r="R176" i="2"/>
  <c r="Q176" i="2"/>
  <c r="E176" i="2"/>
  <c r="D176" i="2"/>
  <c r="V176" i="2"/>
  <c r="N176" i="2"/>
  <c r="M176" i="2"/>
  <c r="L176" i="2"/>
  <c r="K176" i="2"/>
  <c r="J176" i="2"/>
  <c r="T176" i="2"/>
  <c r="P176" i="2"/>
  <c r="G176" i="2"/>
  <c r="F176" i="2"/>
  <c r="O176" i="2"/>
  <c r="N283" i="2"/>
  <c r="K283" i="2"/>
  <c r="J283" i="2"/>
  <c r="R283" i="2"/>
  <c r="O283" i="2"/>
  <c r="M283" i="2"/>
  <c r="V283" i="2"/>
  <c r="L283" i="2"/>
  <c r="G283" i="2"/>
  <c r="F283" i="2"/>
  <c r="E283" i="2"/>
  <c r="I283" i="2"/>
  <c r="H283" i="2"/>
  <c r="D283" i="2"/>
  <c r="Q283" i="2"/>
  <c r="P283" i="2"/>
  <c r="T283" i="2"/>
  <c r="S283" i="2"/>
  <c r="E256" i="2"/>
  <c r="Q256" i="2"/>
  <c r="J256" i="2"/>
  <c r="G256" i="2"/>
  <c r="F256" i="2"/>
  <c r="V256" i="2"/>
  <c r="M256" i="2"/>
  <c r="L256" i="2"/>
  <c r="K256" i="2"/>
  <c r="D256" i="2"/>
  <c r="T256" i="2"/>
  <c r="P256" i="2"/>
  <c r="R256" i="2"/>
  <c r="O256" i="2"/>
  <c r="N256" i="2"/>
  <c r="I256" i="2"/>
  <c r="H256" i="2"/>
  <c r="S256" i="2"/>
  <c r="H358" i="2"/>
  <c r="M358" i="2"/>
  <c r="I358" i="2"/>
  <c r="S358" i="2"/>
  <c r="R358" i="2"/>
  <c r="O358" i="2"/>
  <c r="N358" i="2"/>
  <c r="V358" i="2"/>
  <c r="Q358" i="2"/>
  <c r="P358" i="2"/>
  <c r="E358" i="2"/>
  <c r="D358" i="2"/>
  <c r="T358" i="2"/>
  <c r="J358" i="2"/>
  <c r="G358" i="2"/>
  <c r="L358" i="2"/>
  <c r="K358" i="2"/>
  <c r="F358" i="2"/>
  <c r="O238" i="2"/>
  <c r="D238" i="2"/>
  <c r="Q238" i="2"/>
  <c r="M238" i="2"/>
  <c r="L238" i="2"/>
  <c r="K238" i="2"/>
  <c r="E238" i="2"/>
  <c r="P238" i="2"/>
  <c r="N238" i="2"/>
  <c r="J238" i="2"/>
  <c r="I238" i="2"/>
  <c r="G238" i="2"/>
  <c r="F238" i="2"/>
  <c r="V238" i="2"/>
  <c r="H238" i="2"/>
  <c r="S238" i="2"/>
  <c r="R238" i="2"/>
  <c r="T238" i="2"/>
  <c r="J320" i="2"/>
  <c r="V320" i="2"/>
  <c r="F320" i="2"/>
  <c r="E320" i="2"/>
  <c r="K320" i="2"/>
  <c r="G320" i="2"/>
  <c r="R320" i="2"/>
  <c r="Q320" i="2"/>
  <c r="N320" i="2"/>
  <c r="M320" i="2"/>
  <c r="O320" i="2"/>
  <c r="H320" i="2"/>
  <c r="D320" i="2"/>
  <c r="T320" i="2"/>
  <c r="S320" i="2"/>
  <c r="I320" i="2"/>
  <c r="P320" i="2"/>
  <c r="L320" i="2"/>
  <c r="S235" i="2"/>
  <c r="O235" i="2"/>
  <c r="K235" i="2"/>
  <c r="R235" i="2"/>
  <c r="Q235" i="2"/>
  <c r="P235" i="2"/>
  <c r="H235" i="2"/>
  <c r="V235" i="2"/>
  <c r="T235" i="2"/>
  <c r="N235" i="2"/>
  <c r="M235" i="2"/>
  <c r="L235" i="2"/>
  <c r="G235" i="2"/>
  <c r="J235" i="2"/>
  <c r="I235" i="2"/>
  <c r="E235" i="2"/>
  <c r="F235" i="2"/>
  <c r="D235" i="2"/>
  <c r="V275" i="2"/>
  <c r="F275" i="2"/>
  <c r="S275" i="2"/>
  <c r="R275" i="2"/>
  <c r="I275" i="2"/>
  <c r="E275" i="2"/>
  <c r="D275" i="2"/>
  <c r="T275" i="2"/>
  <c r="L275" i="2"/>
  <c r="H275" i="2"/>
  <c r="G275" i="2"/>
  <c r="Q275" i="2"/>
  <c r="P275" i="2"/>
  <c r="M275" i="2"/>
  <c r="O275" i="2"/>
  <c r="N275" i="2"/>
  <c r="K275" i="2"/>
  <c r="J275" i="2"/>
  <c r="I355" i="2"/>
  <c r="E355" i="2"/>
  <c r="F355" i="2"/>
  <c r="D355" i="2"/>
  <c r="S355" i="2"/>
  <c r="R355" i="2"/>
  <c r="J355" i="2"/>
  <c r="H355" i="2"/>
  <c r="G355" i="2"/>
  <c r="M355" i="2"/>
  <c r="Q355" i="2"/>
  <c r="P355" i="2"/>
  <c r="N355" i="2"/>
  <c r="L355" i="2"/>
  <c r="K355" i="2"/>
  <c r="O355" i="2"/>
  <c r="V355" i="2"/>
  <c r="T355" i="2"/>
  <c r="T371" i="2"/>
  <c r="D371" i="2"/>
  <c r="S371" i="2"/>
  <c r="R371" i="2"/>
  <c r="G371" i="2"/>
  <c r="V371" i="2"/>
  <c r="K371" i="2"/>
  <c r="J371" i="2"/>
  <c r="F371" i="2"/>
  <c r="E371" i="2"/>
  <c r="O371" i="2"/>
  <c r="N371" i="2"/>
  <c r="P371" i="2"/>
  <c r="M371" i="2"/>
  <c r="L371" i="2"/>
  <c r="I371" i="2"/>
  <c r="H371" i="2"/>
  <c r="Q371" i="2"/>
  <c r="M31" i="4"/>
  <c r="N31" i="4" s="1"/>
  <c r="O31" i="4" s="1"/>
  <c r="P31" i="4"/>
  <c r="Q31" i="4" s="1"/>
  <c r="M25" i="8"/>
  <c r="N25" i="8" s="1"/>
  <c r="O25" i="8" s="1"/>
  <c r="P17" i="5"/>
  <c r="Q17" i="5" s="1"/>
  <c r="M17" i="5"/>
  <c r="N17" i="5" s="1"/>
  <c r="O17" i="5" s="1"/>
  <c r="P27" i="3"/>
  <c r="Q27" i="3" s="1"/>
  <c r="M27" i="3"/>
  <c r="N27" i="3" s="1"/>
  <c r="O27" i="3" s="1"/>
  <c r="L31" i="3"/>
  <c r="E148" i="2"/>
  <c r="T148" i="2"/>
  <c r="D148" i="2"/>
  <c r="O148" i="2"/>
  <c r="N148" i="2"/>
  <c r="M148" i="2"/>
  <c r="J148" i="2"/>
  <c r="I148" i="2"/>
  <c r="H148" i="2"/>
  <c r="G148" i="2"/>
  <c r="F148" i="2"/>
  <c r="V148" i="2"/>
  <c r="S148" i="2"/>
  <c r="R148" i="2"/>
  <c r="Q148" i="2"/>
  <c r="P148" i="2"/>
  <c r="K148" i="2"/>
  <c r="L148" i="2"/>
  <c r="L72" i="2"/>
  <c r="K72" i="2"/>
  <c r="J72" i="2"/>
  <c r="I72" i="2"/>
  <c r="H72" i="2"/>
  <c r="P72" i="2"/>
  <c r="O72" i="2"/>
  <c r="D72" i="2"/>
  <c r="V72" i="2"/>
  <c r="T72" i="2"/>
  <c r="S72" i="2"/>
  <c r="R72" i="2"/>
  <c r="N72" i="2"/>
  <c r="M72" i="2"/>
  <c r="F72" i="2"/>
  <c r="Q72" i="2"/>
  <c r="E72" i="2"/>
  <c r="G72" i="2"/>
  <c r="R109" i="2"/>
  <c r="Q109" i="2"/>
  <c r="P109" i="2"/>
  <c r="O109" i="2"/>
  <c r="N109" i="2"/>
  <c r="L109" i="2"/>
  <c r="K109" i="2"/>
  <c r="J109" i="2"/>
  <c r="I109" i="2"/>
  <c r="H109" i="2"/>
  <c r="S109" i="2"/>
  <c r="M109" i="2"/>
  <c r="V109" i="2"/>
  <c r="T109" i="2"/>
  <c r="G109" i="2"/>
  <c r="F109" i="2"/>
  <c r="E109" i="2"/>
  <c r="D109" i="2"/>
  <c r="T13" i="2"/>
  <c r="V23" i="2" s="1"/>
  <c r="R13" i="2"/>
  <c r="Q13" i="2"/>
  <c r="O13" i="2"/>
  <c r="P13" i="2"/>
  <c r="N13" i="2"/>
  <c r="M13" i="2"/>
  <c r="L13" i="2"/>
  <c r="P103" i="2"/>
  <c r="O103" i="2"/>
  <c r="N103" i="2"/>
  <c r="M103" i="2"/>
  <c r="L103" i="2"/>
  <c r="V103" i="2"/>
  <c r="T103" i="2"/>
  <c r="S103" i="2"/>
  <c r="F103" i="2"/>
  <c r="E103" i="2"/>
  <c r="R103" i="2"/>
  <c r="D103" i="2"/>
  <c r="K103" i="2"/>
  <c r="I103" i="2"/>
  <c r="G103" i="2"/>
  <c r="Q103" i="2"/>
  <c r="J103" i="2"/>
  <c r="H103" i="2"/>
  <c r="J82" i="2"/>
  <c r="I82" i="2"/>
  <c r="H82" i="2"/>
  <c r="G82" i="2"/>
  <c r="V82" i="2"/>
  <c r="F82" i="2"/>
  <c r="O82" i="2"/>
  <c r="N82" i="2"/>
  <c r="L82" i="2"/>
  <c r="K82" i="2"/>
  <c r="E82" i="2"/>
  <c r="D82" i="2"/>
  <c r="S82" i="2"/>
  <c r="Q82" i="2"/>
  <c r="T82" i="2"/>
  <c r="M82" i="2"/>
  <c r="P82" i="2"/>
  <c r="R82" i="2"/>
  <c r="I98" i="2"/>
  <c r="H98" i="2"/>
  <c r="G98" i="2"/>
  <c r="V98" i="2"/>
  <c r="F98" i="2"/>
  <c r="E98" i="2"/>
  <c r="M98" i="2"/>
  <c r="L98" i="2"/>
  <c r="K98" i="2"/>
  <c r="J98" i="2"/>
  <c r="D98" i="2"/>
  <c r="T98" i="2"/>
  <c r="N98" i="2"/>
  <c r="S98" i="2"/>
  <c r="Q98" i="2"/>
  <c r="P98" i="2"/>
  <c r="R98" i="2"/>
  <c r="O98" i="2"/>
  <c r="O116" i="2"/>
  <c r="N116" i="2"/>
  <c r="M116" i="2"/>
  <c r="L116" i="2"/>
  <c r="K116" i="2"/>
  <c r="F116" i="2"/>
  <c r="E116" i="2"/>
  <c r="D116" i="2"/>
  <c r="T116" i="2"/>
  <c r="S116" i="2"/>
  <c r="R116" i="2"/>
  <c r="V116" i="2"/>
  <c r="Q116" i="2"/>
  <c r="P116" i="2"/>
  <c r="J116" i="2"/>
  <c r="I116" i="2"/>
  <c r="H116" i="2"/>
  <c r="G116" i="2"/>
  <c r="J85" i="2"/>
  <c r="I85" i="2"/>
  <c r="H85" i="2"/>
  <c r="G85" i="2"/>
  <c r="V85" i="2"/>
  <c r="F85" i="2"/>
  <c r="D85" i="2"/>
  <c r="M85" i="2"/>
  <c r="L85" i="2"/>
  <c r="T85" i="2"/>
  <c r="S85" i="2"/>
  <c r="R85" i="2"/>
  <c r="Q85" i="2"/>
  <c r="P85" i="2"/>
  <c r="N85" i="2"/>
  <c r="K85" i="2"/>
  <c r="O85" i="2"/>
  <c r="E85" i="2"/>
  <c r="H95" i="2"/>
  <c r="G95" i="2"/>
  <c r="V95" i="2"/>
  <c r="F95" i="2"/>
  <c r="E95" i="2"/>
  <c r="T95" i="2"/>
  <c r="D95" i="2"/>
  <c r="I95" i="2"/>
  <c r="R95" i="2"/>
  <c r="Q95" i="2"/>
  <c r="P95" i="2"/>
  <c r="S95" i="2"/>
  <c r="O95" i="2"/>
  <c r="N95" i="2"/>
  <c r="M95" i="2"/>
  <c r="L95" i="2"/>
  <c r="K95" i="2"/>
  <c r="J95" i="2"/>
  <c r="M188" i="2"/>
  <c r="L188" i="2"/>
  <c r="G188" i="2"/>
  <c r="V188" i="2"/>
  <c r="F188" i="2"/>
  <c r="E188" i="2"/>
  <c r="I188" i="2"/>
  <c r="H188" i="2"/>
  <c r="D188" i="2"/>
  <c r="Q188" i="2"/>
  <c r="P188" i="2"/>
  <c r="O188" i="2"/>
  <c r="T188" i="2"/>
  <c r="S188" i="2"/>
  <c r="R188" i="2"/>
  <c r="N188" i="2"/>
  <c r="J188" i="2"/>
  <c r="K188" i="2"/>
  <c r="N360" i="2"/>
  <c r="V360" i="2"/>
  <c r="E360" i="2"/>
  <c r="R360" i="2"/>
  <c r="P360" i="2"/>
  <c r="O360" i="2"/>
  <c r="K360" i="2"/>
  <c r="J360" i="2"/>
  <c r="F360" i="2"/>
  <c r="T360" i="2"/>
  <c r="S360" i="2"/>
  <c r="Q360" i="2"/>
  <c r="G360" i="2"/>
  <c r="D360" i="2"/>
  <c r="M360" i="2"/>
  <c r="L360" i="2"/>
  <c r="I360" i="2"/>
  <c r="H360" i="2"/>
  <c r="E202" i="2"/>
  <c r="T202" i="2"/>
  <c r="D202" i="2"/>
  <c r="M202" i="2"/>
  <c r="L202" i="2"/>
  <c r="K202" i="2"/>
  <c r="G202" i="2"/>
  <c r="F202" i="2"/>
  <c r="V202" i="2"/>
  <c r="S202" i="2"/>
  <c r="Q202" i="2"/>
  <c r="P202" i="2"/>
  <c r="O202" i="2"/>
  <c r="N202" i="2"/>
  <c r="J202" i="2"/>
  <c r="H202" i="2"/>
  <c r="R202" i="2"/>
  <c r="I202" i="2"/>
  <c r="M296" i="2"/>
  <c r="J296" i="2"/>
  <c r="I296" i="2"/>
  <c r="T296" i="2"/>
  <c r="Q296" i="2"/>
  <c r="P296" i="2"/>
  <c r="O296" i="2"/>
  <c r="S296" i="2"/>
  <c r="R296" i="2"/>
  <c r="G296" i="2"/>
  <c r="L296" i="2"/>
  <c r="K296" i="2"/>
  <c r="H296" i="2"/>
  <c r="V296" i="2"/>
  <c r="N296" i="2"/>
  <c r="F296" i="2"/>
  <c r="D296" i="2"/>
  <c r="E296" i="2"/>
  <c r="R216" i="2"/>
  <c r="L216" i="2"/>
  <c r="K216" i="2"/>
  <c r="J216" i="2"/>
  <c r="E216" i="2"/>
  <c r="D216" i="2"/>
  <c r="V216" i="2"/>
  <c r="T216" i="2"/>
  <c r="S216" i="2"/>
  <c r="Q216" i="2"/>
  <c r="P216" i="2"/>
  <c r="M216" i="2"/>
  <c r="O216" i="2"/>
  <c r="N216" i="2"/>
  <c r="I216" i="2"/>
  <c r="H216" i="2"/>
  <c r="G216" i="2"/>
  <c r="F216" i="2"/>
  <c r="S142" i="2"/>
  <c r="R142" i="2"/>
  <c r="M142" i="2"/>
  <c r="L142" i="2"/>
  <c r="K142" i="2"/>
  <c r="T142" i="2"/>
  <c r="Q142" i="2"/>
  <c r="P142" i="2"/>
  <c r="O142" i="2"/>
  <c r="V142" i="2"/>
  <c r="N142" i="2"/>
  <c r="J142" i="2"/>
  <c r="I142" i="2"/>
  <c r="H142" i="2"/>
  <c r="G142" i="2"/>
  <c r="E142" i="2"/>
  <c r="F142" i="2"/>
  <c r="D142" i="2"/>
  <c r="O319" i="2"/>
  <c r="K319" i="2"/>
  <c r="J319" i="2"/>
  <c r="L319" i="2"/>
  <c r="G319" i="2"/>
  <c r="R319" i="2"/>
  <c r="Q319" i="2"/>
  <c r="M319" i="2"/>
  <c r="I319" i="2"/>
  <c r="D319" i="2"/>
  <c r="T319" i="2"/>
  <c r="F319" i="2"/>
  <c r="V319" i="2"/>
  <c r="S319" i="2"/>
  <c r="H319" i="2"/>
  <c r="E319" i="2"/>
  <c r="P319" i="2"/>
  <c r="N319" i="2"/>
  <c r="T334" i="2"/>
  <c r="D334" i="2"/>
  <c r="S334" i="2"/>
  <c r="P334" i="2"/>
  <c r="O334" i="2"/>
  <c r="K334" i="2"/>
  <c r="H334" i="2"/>
  <c r="R334" i="2"/>
  <c r="Q334" i="2"/>
  <c r="L334" i="2"/>
  <c r="J334" i="2"/>
  <c r="N334" i="2"/>
  <c r="M334" i="2"/>
  <c r="I334" i="2"/>
  <c r="G334" i="2"/>
  <c r="F334" i="2"/>
  <c r="E334" i="2"/>
  <c r="V334" i="2"/>
  <c r="P257" i="2"/>
  <c r="L257" i="2"/>
  <c r="G257" i="2"/>
  <c r="V257" i="2"/>
  <c r="D257" i="2"/>
  <c r="O257" i="2"/>
  <c r="F257" i="2"/>
  <c r="E257" i="2"/>
  <c r="T257" i="2"/>
  <c r="S257" i="2"/>
  <c r="R257" i="2"/>
  <c r="I257" i="2"/>
  <c r="Q257" i="2"/>
  <c r="N257" i="2"/>
  <c r="K257" i="2"/>
  <c r="J257" i="2"/>
  <c r="H257" i="2"/>
  <c r="M257" i="2"/>
  <c r="R295" i="2"/>
  <c r="O295" i="2"/>
  <c r="N295" i="2"/>
  <c r="V295" i="2"/>
  <c r="S295" i="2"/>
  <c r="Q295" i="2"/>
  <c r="P295" i="2"/>
  <c r="K295" i="2"/>
  <c r="J295" i="2"/>
  <c r="E295" i="2"/>
  <c r="D295" i="2"/>
  <c r="F295" i="2"/>
  <c r="T295" i="2"/>
  <c r="I295" i="2"/>
  <c r="L295" i="2"/>
  <c r="M295" i="2"/>
  <c r="H295" i="2"/>
  <c r="G295" i="2"/>
  <c r="S250" i="2"/>
  <c r="O250" i="2"/>
  <c r="H250" i="2"/>
  <c r="V250" i="2"/>
  <c r="D250" i="2"/>
  <c r="T250" i="2"/>
  <c r="N250" i="2"/>
  <c r="M250" i="2"/>
  <c r="L250" i="2"/>
  <c r="K250" i="2"/>
  <c r="R250" i="2"/>
  <c r="Q250" i="2"/>
  <c r="P250" i="2"/>
  <c r="J250" i="2"/>
  <c r="G250" i="2"/>
  <c r="F250" i="2"/>
  <c r="E250" i="2"/>
  <c r="I250" i="2"/>
  <c r="H346" i="2"/>
  <c r="G346" i="2"/>
  <c r="T346" i="2"/>
  <c r="D346" i="2"/>
  <c r="S346" i="2"/>
  <c r="O346" i="2"/>
  <c r="L346" i="2"/>
  <c r="K346" i="2"/>
  <c r="R346" i="2"/>
  <c r="M346" i="2"/>
  <c r="F346" i="2"/>
  <c r="E346" i="2"/>
  <c r="J346" i="2"/>
  <c r="I346" i="2"/>
  <c r="V346" i="2"/>
  <c r="Q346" i="2"/>
  <c r="P346" i="2"/>
  <c r="N346" i="2"/>
  <c r="S368" i="2"/>
  <c r="R368" i="2"/>
  <c r="I368" i="2"/>
  <c r="K368" i="2"/>
  <c r="F368" i="2"/>
  <c r="G368" i="2"/>
  <c r="E368" i="2"/>
  <c r="V368" i="2"/>
  <c r="Q368" i="2"/>
  <c r="P368" i="2"/>
  <c r="N368" i="2"/>
  <c r="M368" i="2"/>
  <c r="J368" i="2"/>
  <c r="H368" i="2"/>
  <c r="O368" i="2"/>
  <c r="L368" i="2"/>
  <c r="D368" i="2"/>
  <c r="T368" i="2"/>
  <c r="P29" i="9"/>
  <c r="Q29" i="9" s="1"/>
  <c r="M29" i="9"/>
  <c r="N29" i="9" s="1"/>
  <c r="O29" i="9" s="1"/>
  <c r="M34" i="10"/>
  <c r="N34" i="10" s="1"/>
  <c r="O34" i="10" s="1"/>
  <c r="L28" i="6"/>
  <c r="M21" i="5"/>
  <c r="N21" i="5" s="1"/>
  <c r="O21" i="5" s="1"/>
  <c r="P21" i="5"/>
  <c r="Q21" i="5" s="1"/>
  <c r="P34" i="7"/>
  <c r="Q34" i="7" s="1"/>
  <c r="M34" i="7"/>
  <c r="N34" i="7" s="1"/>
  <c r="O34" i="7" s="1"/>
  <c r="P27" i="8"/>
  <c r="Q27" i="8" s="1"/>
  <c r="M27" i="8"/>
  <c r="N27" i="8" s="1"/>
  <c r="O27" i="8" s="1"/>
  <c r="M29" i="3"/>
  <c r="N29" i="3" s="1"/>
  <c r="O29" i="3" s="1"/>
  <c r="P29" i="3"/>
  <c r="Q29" i="3" s="1"/>
  <c r="P34" i="3"/>
  <c r="Q34" i="3" s="1"/>
  <c r="M34" i="3"/>
  <c r="N34" i="3" s="1"/>
  <c r="O34" i="3" s="1"/>
  <c r="Q71" i="2"/>
  <c r="P71" i="2"/>
  <c r="O71" i="2"/>
  <c r="N71" i="2"/>
  <c r="M71" i="2"/>
  <c r="K71" i="2"/>
  <c r="J71" i="2"/>
  <c r="D71" i="2"/>
  <c r="T71" i="2"/>
  <c r="S71" i="2"/>
  <c r="R71" i="2"/>
  <c r="L71" i="2"/>
  <c r="I71" i="2"/>
  <c r="H71" i="2"/>
  <c r="F71" i="2"/>
  <c r="E71" i="2"/>
  <c r="G71" i="2"/>
  <c r="V71" i="2"/>
  <c r="P87" i="2"/>
  <c r="O87" i="2"/>
  <c r="N87" i="2"/>
  <c r="M87" i="2"/>
  <c r="L87" i="2"/>
  <c r="I87" i="2"/>
  <c r="H87" i="2"/>
  <c r="G87" i="2"/>
  <c r="F87" i="2"/>
  <c r="E87" i="2"/>
  <c r="T87" i="2"/>
  <c r="S87" i="2"/>
  <c r="R87" i="2"/>
  <c r="Q87" i="2"/>
  <c r="J87" i="2"/>
  <c r="V87" i="2"/>
  <c r="K87" i="2"/>
  <c r="D87" i="2"/>
  <c r="R139" i="2"/>
  <c r="Q139" i="2"/>
  <c r="L139" i="2"/>
  <c r="K139" i="2"/>
  <c r="N139" i="2"/>
  <c r="M139" i="2"/>
  <c r="J139" i="2"/>
  <c r="I139" i="2"/>
  <c r="H139" i="2"/>
  <c r="P139" i="2"/>
  <c r="O139" i="2"/>
  <c r="G139" i="2"/>
  <c r="F139" i="2"/>
  <c r="E139" i="2"/>
  <c r="T139" i="2"/>
  <c r="S139" i="2"/>
  <c r="D139" i="2"/>
  <c r="V139" i="2"/>
  <c r="T29" i="2"/>
  <c r="R29" i="2"/>
  <c r="Q29" i="2"/>
  <c r="O29" i="2"/>
  <c r="M29" i="2"/>
  <c r="N29" i="2"/>
  <c r="L29" i="2"/>
  <c r="P29" i="2"/>
  <c r="Q138" i="2"/>
  <c r="P138" i="2"/>
  <c r="O138" i="2"/>
  <c r="N138" i="2"/>
  <c r="M138" i="2"/>
  <c r="I138" i="2"/>
  <c r="H138" i="2"/>
  <c r="G138" i="2"/>
  <c r="F138" i="2"/>
  <c r="E138" i="2"/>
  <c r="R138" i="2"/>
  <c r="L138" i="2"/>
  <c r="D138" i="2"/>
  <c r="S138" i="2"/>
  <c r="T138" i="2"/>
  <c r="J138" i="2"/>
  <c r="V138" i="2"/>
  <c r="K138" i="2"/>
  <c r="K120" i="2"/>
  <c r="J120" i="2"/>
  <c r="I120" i="2"/>
  <c r="H120" i="2"/>
  <c r="G120" i="2"/>
  <c r="P120" i="2"/>
  <c r="O120" i="2"/>
  <c r="N120" i="2"/>
  <c r="M120" i="2"/>
  <c r="L120" i="2"/>
  <c r="T120" i="2"/>
  <c r="S120" i="2"/>
  <c r="V120" i="2"/>
  <c r="Q120" i="2"/>
  <c r="F120" i="2"/>
  <c r="D120" i="2"/>
  <c r="R120" i="2"/>
  <c r="E120" i="2"/>
  <c r="H111" i="2"/>
  <c r="G111" i="2"/>
  <c r="V111" i="2"/>
  <c r="F111" i="2"/>
  <c r="E111" i="2"/>
  <c r="T111" i="2"/>
  <c r="D111" i="2"/>
  <c r="Q111" i="2"/>
  <c r="P111" i="2"/>
  <c r="O111" i="2"/>
  <c r="N111" i="2"/>
  <c r="M111" i="2"/>
  <c r="S111" i="2"/>
  <c r="R111" i="2"/>
  <c r="L111" i="2"/>
  <c r="K111" i="2"/>
  <c r="I111" i="2"/>
  <c r="J111" i="2"/>
  <c r="J117" i="2"/>
  <c r="I117" i="2"/>
  <c r="H117" i="2"/>
  <c r="G117" i="2"/>
  <c r="V117" i="2"/>
  <c r="F117" i="2"/>
  <c r="K117" i="2"/>
  <c r="E117" i="2"/>
  <c r="D117" i="2"/>
  <c r="P117" i="2"/>
  <c r="O117" i="2"/>
  <c r="T117" i="2"/>
  <c r="R117" i="2"/>
  <c r="N117" i="2"/>
  <c r="S117" i="2"/>
  <c r="Q117" i="2"/>
  <c r="M117" i="2"/>
  <c r="L117" i="2"/>
  <c r="P135" i="2"/>
  <c r="O135" i="2"/>
  <c r="N135" i="2"/>
  <c r="M135" i="2"/>
  <c r="L135" i="2"/>
  <c r="D135" i="2"/>
  <c r="V135" i="2"/>
  <c r="I135" i="2"/>
  <c r="H135" i="2"/>
  <c r="R135" i="2"/>
  <c r="Q135" i="2"/>
  <c r="K135" i="2"/>
  <c r="J135" i="2"/>
  <c r="G135" i="2"/>
  <c r="F135" i="2"/>
  <c r="E135" i="2"/>
  <c r="T135" i="2"/>
  <c r="S135" i="2"/>
  <c r="N191" i="2"/>
  <c r="M191" i="2"/>
  <c r="H191" i="2"/>
  <c r="G191" i="2"/>
  <c r="V191" i="2"/>
  <c r="F191" i="2"/>
  <c r="P191" i="2"/>
  <c r="O191" i="2"/>
  <c r="L191" i="2"/>
  <c r="K191" i="2"/>
  <c r="J191" i="2"/>
  <c r="T191" i="2"/>
  <c r="E191" i="2"/>
  <c r="D191" i="2"/>
  <c r="S191" i="2"/>
  <c r="Q191" i="2"/>
  <c r="I191" i="2"/>
  <c r="R191" i="2"/>
  <c r="N316" i="2"/>
  <c r="J316" i="2"/>
  <c r="M316" i="2"/>
  <c r="R316" i="2"/>
  <c r="Q316" i="2"/>
  <c r="L316" i="2"/>
  <c r="K316" i="2"/>
  <c r="O316" i="2"/>
  <c r="G316" i="2"/>
  <c r="F316" i="2"/>
  <c r="E316" i="2"/>
  <c r="I316" i="2"/>
  <c r="H316" i="2"/>
  <c r="T316" i="2"/>
  <c r="S316" i="2"/>
  <c r="D316" i="2"/>
  <c r="V316" i="2"/>
  <c r="P316" i="2"/>
  <c r="S96" i="2"/>
  <c r="R96" i="2"/>
  <c r="Q96" i="2"/>
  <c r="P96" i="2"/>
  <c r="O96" i="2"/>
  <c r="H96" i="2"/>
  <c r="G96" i="2"/>
  <c r="F96" i="2"/>
  <c r="E96" i="2"/>
  <c r="D96" i="2"/>
  <c r="N96" i="2"/>
  <c r="M96" i="2"/>
  <c r="V96" i="2"/>
  <c r="T96" i="2"/>
  <c r="K96" i="2"/>
  <c r="I96" i="2"/>
  <c r="L96" i="2"/>
  <c r="J96" i="2"/>
  <c r="E225" i="2"/>
  <c r="Q225" i="2"/>
  <c r="T225" i="2"/>
  <c r="M225" i="2"/>
  <c r="L225" i="2"/>
  <c r="D225" i="2"/>
  <c r="O225" i="2"/>
  <c r="N225" i="2"/>
  <c r="K225" i="2"/>
  <c r="J225" i="2"/>
  <c r="H225" i="2"/>
  <c r="G225" i="2"/>
  <c r="F225" i="2"/>
  <c r="V225" i="2"/>
  <c r="S225" i="2"/>
  <c r="P225" i="2"/>
  <c r="I225" i="2"/>
  <c r="R225" i="2"/>
  <c r="E321" i="2"/>
  <c r="Q321" i="2"/>
  <c r="P321" i="2"/>
  <c r="I321" i="2"/>
  <c r="F321" i="2"/>
  <c r="T321" i="2"/>
  <c r="S321" i="2"/>
  <c r="N321" i="2"/>
  <c r="M321" i="2"/>
  <c r="R321" i="2"/>
  <c r="O321" i="2"/>
  <c r="L321" i="2"/>
  <c r="V321" i="2"/>
  <c r="D321" i="2"/>
  <c r="K321" i="2"/>
  <c r="J321" i="2"/>
  <c r="G321" i="2"/>
  <c r="H321" i="2"/>
  <c r="O270" i="2"/>
  <c r="L270" i="2"/>
  <c r="K270" i="2"/>
  <c r="P270" i="2"/>
  <c r="J270" i="2"/>
  <c r="I270" i="2"/>
  <c r="D270" i="2"/>
  <c r="T270" i="2"/>
  <c r="V270" i="2"/>
  <c r="S270" i="2"/>
  <c r="G270" i="2"/>
  <c r="F270" i="2"/>
  <c r="E270" i="2"/>
  <c r="M270" i="2"/>
  <c r="H270" i="2"/>
  <c r="R270" i="2"/>
  <c r="Q270" i="2"/>
  <c r="N270" i="2"/>
  <c r="S158" i="2"/>
  <c r="R158" i="2"/>
  <c r="M158" i="2"/>
  <c r="L158" i="2"/>
  <c r="K158" i="2"/>
  <c r="I158" i="2"/>
  <c r="H158" i="2"/>
  <c r="G158" i="2"/>
  <c r="F158" i="2"/>
  <c r="E158" i="2"/>
  <c r="T158" i="2"/>
  <c r="Q158" i="2"/>
  <c r="P158" i="2"/>
  <c r="O158" i="2"/>
  <c r="D158" i="2"/>
  <c r="V158" i="2"/>
  <c r="N158" i="2"/>
  <c r="J158" i="2"/>
  <c r="V212" i="2"/>
  <c r="F212" i="2"/>
  <c r="K212" i="2"/>
  <c r="D212" i="2"/>
  <c r="G212" i="2"/>
  <c r="E212" i="2"/>
  <c r="S212" i="2"/>
  <c r="R212" i="2"/>
  <c r="Q212" i="2"/>
  <c r="P212" i="2"/>
  <c r="M212" i="2"/>
  <c r="I212" i="2"/>
  <c r="H212" i="2"/>
  <c r="T212" i="2"/>
  <c r="O212" i="2"/>
  <c r="N212" i="2"/>
  <c r="L212" i="2"/>
  <c r="J212" i="2"/>
  <c r="K339" i="2"/>
  <c r="J339" i="2"/>
  <c r="G339" i="2"/>
  <c r="V339" i="2"/>
  <c r="F339" i="2"/>
  <c r="N339" i="2"/>
  <c r="I339" i="2"/>
  <c r="H339" i="2"/>
  <c r="Q339" i="2"/>
  <c r="P339" i="2"/>
  <c r="L339" i="2"/>
  <c r="E339" i="2"/>
  <c r="T339" i="2"/>
  <c r="O339" i="2"/>
  <c r="M339" i="2"/>
  <c r="D339" i="2"/>
  <c r="S339" i="2"/>
  <c r="R339" i="2"/>
  <c r="Q276" i="2"/>
  <c r="N276" i="2"/>
  <c r="M276" i="2"/>
  <c r="G276" i="2"/>
  <c r="D276" i="2"/>
  <c r="V276" i="2"/>
  <c r="O276" i="2"/>
  <c r="H276" i="2"/>
  <c r="F276" i="2"/>
  <c r="E276" i="2"/>
  <c r="S276" i="2"/>
  <c r="R276" i="2"/>
  <c r="P276" i="2"/>
  <c r="T276" i="2"/>
  <c r="L276" i="2"/>
  <c r="K276" i="2"/>
  <c r="I276" i="2"/>
  <c r="J276" i="2"/>
  <c r="P322" i="2"/>
  <c r="L322" i="2"/>
  <c r="K322" i="2"/>
  <c r="G322" i="2"/>
  <c r="D322" i="2"/>
  <c r="T322" i="2"/>
  <c r="Q322" i="2"/>
  <c r="O322" i="2"/>
  <c r="V322" i="2"/>
  <c r="J322" i="2"/>
  <c r="I322" i="2"/>
  <c r="H322" i="2"/>
  <c r="M322" i="2"/>
  <c r="F322" i="2"/>
  <c r="E322" i="2"/>
  <c r="R322" i="2"/>
  <c r="N322" i="2"/>
  <c r="S322" i="2"/>
  <c r="S266" i="2"/>
  <c r="P266" i="2"/>
  <c r="O266" i="2"/>
  <c r="Q266" i="2"/>
  <c r="N266" i="2"/>
  <c r="M266" i="2"/>
  <c r="G266" i="2"/>
  <c r="V266" i="2"/>
  <c r="T266" i="2"/>
  <c r="H266" i="2"/>
  <c r="E266" i="2"/>
  <c r="D266" i="2"/>
  <c r="L266" i="2"/>
  <c r="R266" i="2"/>
  <c r="F266" i="2"/>
  <c r="K266" i="2"/>
  <c r="J266" i="2"/>
  <c r="I266" i="2"/>
  <c r="N354" i="2"/>
  <c r="J354" i="2"/>
  <c r="H354" i="2"/>
  <c r="G354" i="2"/>
  <c r="V354" i="2"/>
  <c r="D354" i="2"/>
  <c r="E354" i="2"/>
  <c r="R354" i="2"/>
  <c r="Q354" i="2"/>
  <c r="T354" i="2"/>
  <c r="S354" i="2"/>
  <c r="P354" i="2"/>
  <c r="O354" i="2"/>
  <c r="M354" i="2"/>
  <c r="I354" i="2"/>
  <c r="F354" i="2"/>
  <c r="L354" i="2"/>
  <c r="K354" i="2"/>
  <c r="R30" i="2"/>
  <c r="Q30" i="2"/>
  <c r="P30" i="2"/>
  <c r="O30" i="2"/>
  <c r="N30" i="2"/>
  <c r="M30" i="2"/>
  <c r="L30" i="2"/>
  <c r="T30" i="2"/>
  <c r="N369" i="2"/>
  <c r="M369" i="2"/>
  <c r="F369" i="2"/>
  <c r="I369" i="2"/>
  <c r="D369" i="2"/>
  <c r="H369" i="2"/>
  <c r="G369" i="2"/>
  <c r="V369" i="2"/>
  <c r="E369" i="2"/>
  <c r="R369" i="2"/>
  <c r="O369" i="2"/>
  <c r="L369" i="2"/>
  <c r="K369" i="2"/>
  <c r="Q369" i="2"/>
  <c r="P369" i="2"/>
  <c r="S369" i="2"/>
  <c r="J369" i="2"/>
  <c r="T369" i="2"/>
  <c r="M345" i="2"/>
  <c r="L345" i="2"/>
  <c r="I345" i="2"/>
  <c r="H345" i="2"/>
  <c r="P345" i="2"/>
  <c r="K345" i="2"/>
  <c r="J345" i="2"/>
  <c r="T345" i="2"/>
  <c r="Q345" i="2"/>
  <c r="O345" i="2"/>
  <c r="G345" i="2"/>
  <c r="F345" i="2"/>
  <c r="S345" i="2"/>
  <c r="R345" i="2"/>
  <c r="N345" i="2"/>
  <c r="V345" i="2"/>
  <c r="E345" i="2"/>
  <c r="D345" i="2"/>
  <c r="O162" i="2"/>
  <c r="N162" i="2"/>
  <c r="I162" i="2"/>
  <c r="H162" i="2"/>
  <c r="G162" i="2"/>
  <c r="S162" i="2"/>
  <c r="R162" i="2"/>
  <c r="Q162" i="2"/>
  <c r="P162" i="2"/>
  <c r="M162" i="2"/>
  <c r="D162" i="2"/>
  <c r="V162" i="2"/>
  <c r="T162" i="2"/>
  <c r="K162" i="2"/>
  <c r="F162" i="2"/>
  <c r="E162" i="2"/>
  <c r="L162" i="2"/>
  <c r="J162" i="2"/>
  <c r="I252" i="2"/>
  <c r="E252" i="2"/>
  <c r="T252" i="2"/>
  <c r="P252" i="2"/>
  <c r="S252" i="2"/>
  <c r="Q252" i="2"/>
  <c r="O252" i="2"/>
  <c r="N252" i="2"/>
  <c r="K252" i="2"/>
  <c r="J252" i="2"/>
  <c r="H252" i="2"/>
  <c r="M252" i="2"/>
  <c r="L252" i="2"/>
  <c r="G252" i="2"/>
  <c r="F252" i="2"/>
  <c r="D252" i="2"/>
  <c r="V252" i="2"/>
  <c r="R252" i="2"/>
  <c r="T145" i="2"/>
  <c r="D145" i="2"/>
  <c r="S145" i="2"/>
  <c r="N145" i="2"/>
  <c r="M145" i="2"/>
  <c r="L145" i="2"/>
  <c r="E145" i="2"/>
  <c r="V145" i="2"/>
  <c r="R145" i="2"/>
  <c r="Q145" i="2"/>
  <c r="P145" i="2"/>
  <c r="O145" i="2"/>
  <c r="H145" i="2"/>
  <c r="G145" i="2"/>
  <c r="J145" i="2"/>
  <c r="F145" i="2"/>
  <c r="K145" i="2"/>
  <c r="I145" i="2"/>
  <c r="Q206" i="2"/>
  <c r="P206" i="2"/>
  <c r="T206" i="2"/>
  <c r="S206" i="2"/>
  <c r="M206" i="2"/>
  <c r="L206" i="2"/>
  <c r="K206" i="2"/>
  <c r="E206" i="2"/>
  <c r="D206" i="2"/>
  <c r="V206" i="2"/>
  <c r="R206" i="2"/>
  <c r="O206" i="2"/>
  <c r="N206" i="2"/>
  <c r="J206" i="2"/>
  <c r="H206" i="2"/>
  <c r="G206" i="2"/>
  <c r="F206" i="2"/>
  <c r="I206" i="2"/>
  <c r="T314" i="2"/>
  <c r="D314" i="2"/>
  <c r="V314" i="2"/>
  <c r="E314" i="2"/>
  <c r="Q314" i="2"/>
  <c r="P314" i="2"/>
  <c r="H314" i="2"/>
  <c r="R314" i="2"/>
  <c r="O314" i="2"/>
  <c r="J314" i="2"/>
  <c r="L314" i="2"/>
  <c r="K314" i="2"/>
  <c r="I314" i="2"/>
  <c r="S314" i="2"/>
  <c r="M314" i="2"/>
  <c r="G314" i="2"/>
  <c r="F314" i="2"/>
  <c r="N314" i="2"/>
  <c r="K53" i="2"/>
  <c r="J53" i="2"/>
  <c r="I53" i="2"/>
  <c r="H53" i="2"/>
  <c r="G53" i="2"/>
  <c r="R53" i="2"/>
  <c r="Q53" i="2"/>
  <c r="F53" i="2"/>
  <c r="V53" i="2"/>
  <c r="T53" i="2"/>
  <c r="S53" i="2"/>
  <c r="P53" i="2"/>
  <c r="O53" i="2"/>
  <c r="M53" i="2"/>
  <c r="L53" i="2"/>
  <c r="D53" i="2"/>
  <c r="N53" i="2"/>
  <c r="E53" i="2"/>
  <c r="M75" i="2"/>
  <c r="L75" i="2"/>
  <c r="K75" i="2"/>
  <c r="J75" i="2"/>
  <c r="I75" i="2"/>
  <c r="T75" i="2"/>
  <c r="N75" i="2"/>
  <c r="H75" i="2"/>
  <c r="V75" i="2"/>
  <c r="S75" i="2"/>
  <c r="R75" i="2"/>
  <c r="Q75" i="2"/>
  <c r="P75" i="2"/>
  <c r="O75" i="2"/>
  <c r="F75" i="2"/>
  <c r="E75" i="2"/>
  <c r="G75" i="2"/>
  <c r="D75" i="2"/>
  <c r="M59" i="2"/>
  <c r="L59" i="2"/>
  <c r="K59" i="2"/>
  <c r="J59" i="2"/>
  <c r="I59" i="2"/>
  <c r="G59" i="2"/>
  <c r="F59" i="2"/>
  <c r="P59" i="2"/>
  <c r="O59" i="2"/>
  <c r="N59" i="2"/>
  <c r="H59" i="2"/>
  <c r="E59" i="2"/>
  <c r="D59" i="2"/>
  <c r="V59" i="2"/>
  <c r="S59" i="2"/>
  <c r="Q59" i="2"/>
  <c r="R59" i="2"/>
  <c r="T59" i="2"/>
  <c r="T26" i="2"/>
  <c r="R26" i="2"/>
  <c r="Q26" i="2"/>
  <c r="P26" i="2"/>
  <c r="N26" i="2"/>
  <c r="L26" i="2"/>
  <c r="M26" i="2"/>
  <c r="O26" i="2"/>
  <c r="T41" i="2"/>
  <c r="O41" i="2"/>
  <c r="N41" i="2"/>
  <c r="R41" i="2"/>
  <c r="Q41" i="2"/>
  <c r="P41" i="2"/>
  <c r="M41" i="2"/>
  <c r="L41" i="2"/>
  <c r="H173" i="2"/>
  <c r="G173" i="2"/>
  <c r="R173" i="2"/>
  <c r="Q173" i="2"/>
  <c r="P173" i="2"/>
  <c r="T173" i="2"/>
  <c r="S173" i="2"/>
  <c r="O173" i="2"/>
  <c r="N173" i="2"/>
  <c r="J173" i="2"/>
  <c r="I173" i="2"/>
  <c r="F173" i="2"/>
  <c r="E173" i="2"/>
  <c r="D173" i="2"/>
  <c r="L173" i="2"/>
  <c r="K173" i="2"/>
  <c r="V173" i="2"/>
  <c r="M173" i="2"/>
  <c r="O302" i="2"/>
  <c r="L302" i="2"/>
  <c r="K302" i="2"/>
  <c r="M302" i="2"/>
  <c r="H302" i="2"/>
  <c r="G302" i="2"/>
  <c r="F302" i="2"/>
  <c r="V302" i="2"/>
  <c r="P302" i="2"/>
  <c r="R302" i="2"/>
  <c r="Q302" i="2"/>
  <c r="N302" i="2"/>
  <c r="J302" i="2"/>
  <c r="I302" i="2"/>
  <c r="E302" i="2"/>
  <c r="D302" i="2"/>
  <c r="T302" i="2"/>
  <c r="S302" i="2"/>
  <c r="R125" i="2"/>
  <c r="Q125" i="2"/>
  <c r="P125" i="2"/>
  <c r="O125" i="2"/>
  <c r="N125" i="2"/>
  <c r="E125" i="2"/>
  <c r="D125" i="2"/>
  <c r="V125" i="2"/>
  <c r="M125" i="2"/>
  <c r="L125" i="2"/>
  <c r="F125" i="2"/>
  <c r="T125" i="2"/>
  <c r="S125" i="2"/>
  <c r="K125" i="2"/>
  <c r="I125" i="2"/>
  <c r="H125" i="2"/>
  <c r="J125" i="2"/>
  <c r="G125" i="2"/>
  <c r="G170" i="2"/>
  <c r="V170" i="2"/>
  <c r="F170" i="2"/>
  <c r="Q170" i="2"/>
  <c r="P170" i="2"/>
  <c r="O170" i="2"/>
  <c r="M170" i="2"/>
  <c r="L170" i="2"/>
  <c r="K170" i="2"/>
  <c r="J170" i="2"/>
  <c r="I170" i="2"/>
  <c r="D170" i="2"/>
  <c r="T170" i="2"/>
  <c r="E170" i="2"/>
  <c r="S170" i="2"/>
  <c r="R170" i="2"/>
  <c r="N170" i="2"/>
  <c r="H170" i="2"/>
  <c r="G108" i="2"/>
  <c r="V108" i="2"/>
  <c r="F108" i="2"/>
  <c r="E108" i="2"/>
  <c r="T108" i="2"/>
  <c r="D108" i="2"/>
  <c r="S108" i="2"/>
  <c r="L108" i="2"/>
  <c r="K108" i="2"/>
  <c r="J108" i="2"/>
  <c r="I108" i="2"/>
  <c r="H108" i="2"/>
  <c r="R108" i="2"/>
  <c r="Q108" i="2"/>
  <c r="P108" i="2"/>
  <c r="O108" i="2"/>
  <c r="M108" i="2"/>
  <c r="N108" i="2"/>
  <c r="E134" i="2"/>
  <c r="T134" i="2"/>
  <c r="D134" i="2"/>
  <c r="S134" i="2"/>
  <c r="R134" i="2"/>
  <c r="Q134" i="2"/>
  <c r="V134" i="2"/>
  <c r="P134" i="2"/>
  <c r="M134" i="2"/>
  <c r="L134" i="2"/>
  <c r="K134" i="2"/>
  <c r="O134" i="2"/>
  <c r="N134" i="2"/>
  <c r="J134" i="2"/>
  <c r="H134" i="2"/>
  <c r="F134" i="2"/>
  <c r="I134" i="2"/>
  <c r="G134" i="2"/>
  <c r="E196" i="2"/>
  <c r="T196" i="2"/>
  <c r="D196" i="2"/>
  <c r="O196" i="2"/>
  <c r="N196" i="2"/>
  <c r="M196" i="2"/>
  <c r="V196" i="2"/>
  <c r="F196" i="2"/>
  <c r="Q196" i="2"/>
  <c r="P196" i="2"/>
  <c r="L196" i="2"/>
  <c r="G196" i="2"/>
  <c r="S196" i="2"/>
  <c r="R196" i="2"/>
  <c r="K196" i="2"/>
  <c r="J196" i="2"/>
  <c r="I196" i="2"/>
  <c r="H196" i="2"/>
  <c r="J179" i="2"/>
  <c r="I179" i="2"/>
  <c r="T179" i="2"/>
  <c r="D179" i="2"/>
  <c r="S179" i="2"/>
  <c r="R179" i="2"/>
  <c r="L179" i="2"/>
  <c r="K179" i="2"/>
  <c r="H179" i="2"/>
  <c r="G179" i="2"/>
  <c r="F179" i="2"/>
  <c r="Q179" i="2"/>
  <c r="P179" i="2"/>
  <c r="O179" i="2"/>
  <c r="N179" i="2"/>
  <c r="E179" i="2"/>
  <c r="M179" i="2"/>
  <c r="V179" i="2"/>
  <c r="J287" i="2"/>
  <c r="G287" i="2"/>
  <c r="V287" i="2"/>
  <c r="F287" i="2"/>
  <c r="M287" i="2"/>
  <c r="I287" i="2"/>
  <c r="H287" i="2"/>
  <c r="L287" i="2"/>
  <c r="T287" i="2"/>
  <c r="S287" i="2"/>
  <c r="K287" i="2"/>
  <c r="P287" i="2"/>
  <c r="O287" i="2"/>
  <c r="N287" i="2"/>
  <c r="E287" i="2"/>
  <c r="R287" i="2"/>
  <c r="Q287" i="2"/>
  <c r="D287" i="2"/>
  <c r="T161" i="2"/>
  <c r="D161" i="2"/>
  <c r="S161" i="2"/>
  <c r="N161" i="2"/>
  <c r="M161" i="2"/>
  <c r="L161" i="2"/>
  <c r="Q161" i="2"/>
  <c r="P161" i="2"/>
  <c r="O161" i="2"/>
  <c r="K161" i="2"/>
  <c r="J161" i="2"/>
  <c r="V161" i="2"/>
  <c r="I161" i="2"/>
  <c r="H161" i="2"/>
  <c r="G161" i="2"/>
  <c r="F161" i="2"/>
  <c r="E161" i="2"/>
  <c r="R161" i="2"/>
  <c r="H218" i="2"/>
  <c r="D218" i="2"/>
  <c r="F218" i="2"/>
  <c r="E218" i="2"/>
  <c r="V218" i="2"/>
  <c r="T218" i="2"/>
  <c r="R218" i="2"/>
  <c r="Q218" i="2"/>
  <c r="P218" i="2"/>
  <c r="O218" i="2"/>
  <c r="L218" i="2"/>
  <c r="S218" i="2"/>
  <c r="N218" i="2"/>
  <c r="M218" i="2"/>
  <c r="K218" i="2"/>
  <c r="I218" i="2"/>
  <c r="G218" i="2"/>
  <c r="J218" i="2"/>
  <c r="L261" i="2"/>
  <c r="H261" i="2"/>
  <c r="O261" i="2"/>
  <c r="K261" i="2"/>
  <c r="J261" i="2"/>
  <c r="F261" i="2"/>
  <c r="V261" i="2"/>
  <c r="T261" i="2"/>
  <c r="Q261" i="2"/>
  <c r="S261" i="2"/>
  <c r="R261" i="2"/>
  <c r="P261" i="2"/>
  <c r="M261" i="2"/>
  <c r="I261" i="2"/>
  <c r="G261" i="2"/>
  <c r="E261" i="2"/>
  <c r="N261" i="2"/>
  <c r="D261" i="2"/>
  <c r="N312" i="2"/>
  <c r="M312" i="2"/>
  <c r="J312" i="2"/>
  <c r="I312" i="2"/>
  <c r="E312" i="2"/>
  <c r="V312" i="2"/>
  <c r="T312" i="2"/>
  <c r="D312" i="2"/>
  <c r="S312" i="2"/>
  <c r="H312" i="2"/>
  <c r="G312" i="2"/>
  <c r="F312" i="2"/>
  <c r="L312" i="2"/>
  <c r="K312" i="2"/>
  <c r="P312" i="2"/>
  <c r="O312" i="2"/>
  <c r="R312" i="2"/>
  <c r="Q312" i="2"/>
  <c r="M264" i="2"/>
  <c r="I264" i="2"/>
  <c r="F264" i="2"/>
  <c r="T264" i="2"/>
  <c r="L264" i="2"/>
  <c r="D264" i="2"/>
  <c r="N264" i="2"/>
  <c r="K264" i="2"/>
  <c r="J264" i="2"/>
  <c r="R264" i="2"/>
  <c r="E264" i="2"/>
  <c r="Q264" i="2"/>
  <c r="G264" i="2"/>
  <c r="O264" i="2"/>
  <c r="H264" i="2"/>
  <c r="S264" i="2"/>
  <c r="P264" i="2"/>
  <c r="V264" i="2"/>
  <c r="G294" i="2"/>
  <c r="T294" i="2"/>
  <c r="D294" i="2"/>
  <c r="S294" i="2"/>
  <c r="R294" i="2"/>
  <c r="Q294" i="2"/>
  <c r="J294" i="2"/>
  <c r="I294" i="2"/>
  <c r="V294" i="2"/>
  <c r="P294" i="2"/>
  <c r="O294" i="2"/>
  <c r="F294" i="2"/>
  <c r="L294" i="2"/>
  <c r="K294" i="2"/>
  <c r="H294" i="2"/>
  <c r="E294" i="2"/>
  <c r="M294" i="2"/>
  <c r="N294" i="2"/>
  <c r="Q325" i="2"/>
  <c r="M325" i="2"/>
  <c r="L325" i="2"/>
  <c r="D325" i="2"/>
  <c r="T325" i="2"/>
  <c r="E325" i="2"/>
  <c r="S325" i="2"/>
  <c r="V325" i="2"/>
  <c r="R325" i="2"/>
  <c r="N325" i="2"/>
  <c r="K325" i="2"/>
  <c r="F325" i="2"/>
  <c r="I325" i="2"/>
  <c r="H325" i="2"/>
  <c r="G325" i="2"/>
  <c r="P325" i="2"/>
  <c r="J325" i="2"/>
  <c r="O325" i="2"/>
  <c r="P366" i="2"/>
  <c r="O366" i="2"/>
  <c r="K366" i="2"/>
  <c r="G366" i="2"/>
  <c r="F366" i="2"/>
  <c r="V366" i="2"/>
  <c r="J366" i="2"/>
  <c r="E366" i="2"/>
  <c r="D366" i="2"/>
  <c r="T366" i="2"/>
  <c r="S366" i="2"/>
  <c r="R366" i="2"/>
  <c r="M366" i="2"/>
  <c r="L366" i="2"/>
  <c r="N366" i="2"/>
  <c r="I366" i="2"/>
  <c r="Q366" i="2"/>
  <c r="H366" i="2"/>
  <c r="J50" i="2"/>
  <c r="I50" i="2"/>
  <c r="H50" i="2"/>
  <c r="G50" i="2"/>
  <c r="V50" i="2"/>
  <c r="F50" i="2"/>
  <c r="M50" i="2"/>
  <c r="L50" i="2"/>
  <c r="T50" i="2"/>
  <c r="S50" i="2"/>
  <c r="Q50" i="2"/>
  <c r="E50" i="2"/>
  <c r="N50" i="2"/>
  <c r="K50" i="2"/>
  <c r="D50" i="2"/>
  <c r="O50" i="2"/>
  <c r="R50" i="2"/>
  <c r="P50" i="2"/>
  <c r="M172" i="2"/>
  <c r="L172" i="2"/>
  <c r="G172" i="2"/>
  <c r="V172" i="2"/>
  <c r="F172" i="2"/>
  <c r="E172" i="2"/>
  <c r="R172" i="2"/>
  <c r="Q172" i="2"/>
  <c r="P172" i="2"/>
  <c r="O172" i="2"/>
  <c r="N172" i="2"/>
  <c r="I172" i="2"/>
  <c r="H172" i="2"/>
  <c r="D172" i="2"/>
  <c r="T172" i="2"/>
  <c r="K172" i="2"/>
  <c r="S172" i="2"/>
  <c r="J172" i="2"/>
  <c r="V167" i="2"/>
  <c r="F167" i="2"/>
  <c r="E167" i="2"/>
  <c r="P167" i="2"/>
  <c r="O167" i="2"/>
  <c r="N167" i="2"/>
  <c r="H167" i="2"/>
  <c r="G167" i="2"/>
  <c r="D167" i="2"/>
  <c r="Q167" i="2"/>
  <c r="M167" i="2"/>
  <c r="L167" i="2"/>
  <c r="T167" i="2"/>
  <c r="S167" i="2"/>
  <c r="R167" i="2"/>
  <c r="K167" i="2"/>
  <c r="J167" i="2"/>
  <c r="I167" i="2"/>
  <c r="L123" i="2"/>
  <c r="K123" i="2"/>
  <c r="J123" i="2"/>
  <c r="I123" i="2"/>
  <c r="H123" i="2"/>
  <c r="T123" i="2"/>
  <c r="S123" i="2"/>
  <c r="R123" i="2"/>
  <c r="Q123" i="2"/>
  <c r="G123" i="2"/>
  <c r="F123" i="2"/>
  <c r="E123" i="2"/>
  <c r="V123" i="2"/>
  <c r="P123" i="2"/>
  <c r="O123" i="2"/>
  <c r="N123" i="2"/>
  <c r="M123" i="2"/>
  <c r="D123" i="2"/>
  <c r="N78" i="2"/>
  <c r="M78" i="2"/>
  <c r="L78" i="2"/>
  <c r="K78" i="2"/>
  <c r="J78" i="2"/>
  <c r="E78" i="2"/>
  <c r="D78" i="2"/>
  <c r="S78" i="2"/>
  <c r="R78" i="2"/>
  <c r="Q78" i="2"/>
  <c r="V78" i="2"/>
  <c r="T78" i="2"/>
  <c r="P78" i="2"/>
  <c r="O78" i="2"/>
  <c r="H78" i="2"/>
  <c r="G78" i="2"/>
  <c r="F78" i="2"/>
  <c r="I78" i="2"/>
  <c r="I63" i="2"/>
  <c r="H63" i="2"/>
  <c r="G63" i="2"/>
  <c r="V63" i="2"/>
  <c r="F63" i="2"/>
  <c r="E63" i="2"/>
  <c r="Q63" i="2"/>
  <c r="P63" i="2"/>
  <c r="J63" i="2"/>
  <c r="O63" i="2"/>
  <c r="N63" i="2"/>
  <c r="M63" i="2"/>
  <c r="L63" i="2"/>
  <c r="K63" i="2"/>
  <c r="D63" i="2"/>
  <c r="T63" i="2"/>
  <c r="R63" i="2"/>
  <c r="S63" i="2"/>
  <c r="M43" i="2"/>
  <c r="L43" i="2"/>
  <c r="K43" i="2"/>
  <c r="J43" i="2"/>
  <c r="I43" i="2"/>
  <c r="S43" i="2"/>
  <c r="R43" i="2"/>
  <c r="F43" i="2"/>
  <c r="E43" i="2"/>
  <c r="D43" i="2"/>
  <c r="N43" i="2"/>
  <c r="V43" i="2"/>
  <c r="T43" i="2"/>
  <c r="Q43" i="2"/>
  <c r="P43" i="2"/>
  <c r="O43" i="2"/>
  <c r="H43" i="2"/>
  <c r="G43" i="2"/>
  <c r="K69" i="2"/>
  <c r="J69" i="2"/>
  <c r="I69" i="2"/>
  <c r="H69" i="2"/>
  <c r="G69" i="2"/>
  <c r="F69" i="2"/>
  <c r="E69" i="2"/>
  <c r="T69" i="2"/>
  <c r="V69" i="2"/>
  <c r="R69" i="2"/>
  <c r="Q69" i="2"/>
  <c r="O69" i="2"/>
  <c r="M69" i="2"/>
  <c r="L69" i="2"/>
  <c r="N69" i="2"/>
  <c r="S69" i="2"/>
  <c r="D69" i="2"/>
  <c r="P69" i="2"/>
  <c r="L185" i="2"/>
  <c r="K185" i="2"/>
  <c r="V185" i="2"/>
  <c r="F185" i="2"/>
  <c r="E185" i="2"/>
  <c r="T185" i="2"/>
  <c r="D185" i="2"/>
  <c r="S185" i="2"/>
  <c r="R185" i="2"/>
  <c r="Q185" i="2"/>
  <c r="H185" i="2"/>
  <c r="G185" i="2"/>
  <c r="P185" i="2"/>
  <c r="O185" i="2"/>
  <c r="N185" i="2"/>
  <c r="M185" i="2"/>
  <c r="J185" i="2"/>
  <c r="I185" i="2"/>
  <c r="G57" i="2"/>
  <c r="V57" i="2"/>
  <c r="F57" i="2"/>
  <c r="E57" i="2"/>
  <c r="T57" i="2"/>
  <c r="D57" i="2"/>
  <c r="S57" i="2"/>
  <c r="P57" i="2"/>
  <c r="R57" i="2"/>
  <c r="Q57" i="2"/>
  <c r="O57" i="2"/>
  <c r="M57" i="2"/>
  <c r="L57" i="2"/>
  <c r="J57" i="2"/>
  <c r="H57" i="2"/>
  <c r="N57" i="2"/>
  <c r="K57" i="2"/>
  <c r="I57" i="2"/>
  <c r="M126" i="2"/>
  <c r="L126" i="2"/>
  <c r="K126" i="2"/>
  <c r="J126" i="2"/>
  <c r="I126" i="2"/>
  <c r="E126" i="2"/>
  <c r="D126" i="2"/>
  <c r="V126" i="2"/>
  <c r="P126" i="2"/>
  <c r="O126" i="2"/>
  <c r="N126" i="2"/>
  <c r="H126" i="2"/>
  <c r="G126" i="2"/>
  <c r="F126" i="2"/>
  <c r="S126" i="2"/>
  <c r="R126" i="2"/>
  <c r="Q126" i="2"/>
  <c r="T126" i="2"/>
  <c r="N175" i="2"/>
  <c r="M175" i="2"/>
  <c r="H175" i="2"/>
  <c r="G175" i="2"/>
  <c r="V175" i="2"/>
  <c r="F175" i="2"/>
  <c r="T175" i="2"/>
  <c r="S175" i="2"/>
  <c r="D175" i="2"/>
  <c r="P175" i="2"/>
  <c r="O175" i="2"/>
  <c r="L175" i="2"/>
  <c r="Q175" i="2"/>
  <c r="K175" i="2"/>
  <c r="J175" i="2"/>
  <c r="I175" i="2"/>
  <c r="E175" i="2"/>
  <c r="R175" i="2"/>
  <c r="G124" i="2"/>
  <c r="V124" i="2"/>
  <c r="F124" i="2"/>
  <c r="E124" i="2"/>
  <c r="T124" i="2"/>
  <c r="D124" i="2"/>
  <c r="S124" i="2"/>
  <c r="R124" i="2"/>
  <c r="Q124" i="2"/>
  <c r="H124" i="2"/>
  <c r="P124" i="2"/>
  <c r="O124" i="2"/>
  <c r="I124" i="2"/>
  <c r="N124" i="2"/>
  <c r="L124" i="2"/>
  <c r="J124" i="2"/>
  <c r="M124" i="2"/>
  <c r="K124" i="2"/>
  <c r="O146" i="2"/>
  <c r="N146" i="2"/>
  <c r="I146" i="2"/>
  <c r="H146" i="2"/>
  <c r="G146" i="2"/>
  <c r="E146" i="2"/>
  <c r="D146" i="2"/>
  <c r="V146" i="2"/>
  <c r="P146" i="2"/>
  <c r="M146" i="2"/>
  <c r="L146" i="2"/>
  <c r="T146" i="2"/>
  <c r="S146" i="2"/>
  <c r="R146" i="2"/>
  <c r="Q146" i="2"/>
  <c r="K146" i="2"/>
  <c r="J146" i="2"/>
  <c r="F146" i="2"/>
  <c r="V377" i="2"/>
  <c r="F377" i="2"/>
  <c r="E377" i="2"/>
  <c r="T377" i="2"/>
  <c r="P377" i="2"/>
  <c r="L377" i="2"/>
  <c r="R377" i="2"/>
  <c r="Q377" i="2"/>
  <c r="M377" i="2"/>
  <c r="K377" i="2"/>
  <c r="N377" i="2"/>
  <c r="H377" i="2"/>
  <c r="G377" i="2"/>
  <c r="S377" i="2"/>
  <c r="I377" i="2"/>
  <c r="D377" i="2"/>
  <c r="O377" i="2"/>
  <c r="J377" i="2"/>
  <c r="J195" i="2"/>
  <c r="I195" i="2"/>
  <c r="T195" i="2"/>
  <c r="D195" i="2"/>
  <c r="S195" i="2"/>
  <c r="R195" i="2"/>
  <c r="V195" i="2"/>
  <c r="Q195" i="2"/>
  <c r="P195" i="2"/>
  <c r="O195" i="2"/>
  <c r="N195" i="2"/>
  <c r="M195" i="2"/>
  <c r="L195" i="2"/>
  <c r="K195" i="2"/>
  <c r="H195" i="2"/>
  <c r="F195" i="2"/>
  <c r="E195" i="2"/>
  <c r="G195" i="2"/>
  <c r="P289" i="2"/>
  <c r="M289" i="2"/>
  <c r="L289" i="2"/>
  <c r="I289" i="2"/>
  <c r="F289" i="2"/>
  <c r="E289" i="2"/>
  <c r="R289" i="2"/>
  <c r="H289" i="2"/>
  <c r="K289" i="2"/>
  <c r="J289" i="2"/>
  <c r="G289" i="2"/>
  <c r="T289" i="2"/>
  <c r="S289" i="2"/>
  <c r="Q289" i="2"/>
  <c r="V289" i="2"/>
  <c r="O289" i="2"/>
  <c r="N289" i="2"/>
  <c r="D289" i="2"/>
  <c r="T177" i="2"/>
  <c r="D177" i="2"/>
  <c r="S177" i="2"/>
  <c r="N177" i="2"/>
  <c r="M177" i="2"/>
  <c r="L177" i="2"/>
  <c r="G177" i="2"/>
  <c r="F177" i="2"/>
  <c r="E177" i="2"/>
  <c r="V177" i="2"/>
  <c r="R177" i="2"/>
  <c r="Q177" i="2"/>
  <c r="P177" i="2"/>
  <c r="H177" i="2"/>
  <c r="O177" i="2"/>
  <c r="K177" i="2"/>
  <c r="J177" i="2"/>
  <c r="I177" i="2"/>
  <c r="Q229" i="2"/>
  <c r="M229" i="2"/>
  <c r="I229" i="2"/>
  <c r="G229" i="2"/>
  <c r="F229" i="2"/>
  <c r="R229" i="2"/>
  <c r="V229" i="2"/>
  <c r="T229" i="2"/>
  <c r="S229" i="2"/>
  <c r="P229" i="2"/>
  <c r="O229" i="2"/>
  <c r="K229" i="2"/>
  <c r="E229" i="2"/>
  <c r="D229" i="2"/>
  <c r="J229" i="2"/>
  <c r="H229" i="2"/>
  <c r="N229" i="2"/>
  <c r="L229" i="2"/>
  <c r="J364" i="2"/>
  <c r="F364" i="2"/>
  <c r="S364" i="2"/>
  <c r="K364" i="2"/>
  <c r="I364" i="2"/>
  <c r="E364" i="2"/>
  <c r="D364" i="2"/>
  <c r="T364" i="2"/>
  <c r="R364" i="2"/>
  <c r="H364" i="2"/>
  <c r="G364" i="2"/>
  <c r="V364" i="2"/>
  <c r="Q364" i="2"/>
  <c r="P364" i="2"/>
  <c r="O364" i="2"/>
  <c r="N364" i="2"/>
  <c r="M364" i="2"/>
  <c r="L364" i="2"/>
  <c r="T318" i="2"/>
  <c r="D318" i="2"/>
  <c r="P318" i="2"/>
  <c r="O318" i="2"/>
  <c r="I318" i="2"/>
  <c r="Q318" i="2"/>
  <c r="N318" i="2"/>
  <c r="K318" i="2"/>
  <c r="J318" i="2"/>
  <c r="V318" i="2"/>
  <c r="S318" i="2"/>
  <c r="E318" i="2"/>
  <c r="G318" i="2"/>
  <c r="M318" i="2"/>
  <c r="L318" i="2"/>
  <c r="H318" i="2"/>
  <c r="F318" i="2"/>
  <c r="R318" i="2"/>
  <c r="Q292" i="2"/>
  <c r="N292" i="2"/>
  <c r="M292" i="2"/>
  <c r="F292" i="2"/>
  <c r="V292" i="2"/>
  <c r="D292" i="2"/>
  <c r="R292" i="2"/>
  <c r="H292" i="2"/>
  <c r="G292" i="2"/>
  <c r="E292" i="2"/>
  <c r="K292" i="2"/>
  <c r="I292" i="2"/>
  <c r="S292" i="2"/>
  <c r="T292" i="2"/>
  <c r="P292" i="2"/>
  <c r="O292" i="2"/>
  <c r="L292" i="2"/>
  <c r="J292" i="2"/>
  <c r="H310" i="2"/>
  <c r="G310" i="2"/>
  <c r="T310" i="2"/>
  <c r="D310" i="2"/>
  <c r="S310" i="2"/>
  <c r="E310" i="2"/>
  <c r="V310" i="2"/>
  <c r="R310" i="2"/>
  <c r="O310" i="2"/>
  <c r="N310" i="2"/>
  <c r="I310" i="2"/>
  <c r="M310" i="2"/>
  <c r="L310" i="2"/>
  <c r="K310" i="2"/>
  <c r="F310" i="2"/>
  <c r="Q310" i="2"/>
  <c r="P310" i="2"/>
  <c r="J310" i="2"/>
  <c r="E337" i="2"/>
  <c r="T337" i="2"/>
  <c r="D337" i="2"/>
  <c r="Q337" i="2"/>
  <c r="P337" i="2"/>
  <c r="L337" i="2"/>
  <c r="I337" i="2"/>
  <c r="H337" i="2"/>
  <c r="F337" i="2"/>
  <c r="S337" i="2"/>
  <c r="R337" i="2"/>
  <c r="O337" i="2"/>
  <c r="K337" i="2"/>
  <c r="J337" i="2"/>
  <c r="G337" i="2"/>
  <c r="V337" i="2"/>
  <c r="N337" i="2"/>
  <c r="M337" i="2"/>
  <c r="S331" i="2"/>
  <c r="O331" i="2"/>
  <c r="N331" i="2"/>
  <c r="P331" i="2"/>
  <c r="K331" i="2"/>
  <c r="L331" i="2"/>
  <c r="J331" i="2"/>
  <c r="G331" i="2"/>
  <c r="F331" i="2"/>
  <c r="T331" i="2"/>
  <c r="R331" i="2"/>
  <c r="Q331" i="2"/>
  <c r="H331" i="2"/>
  <c r="E331" i="2"/>
  <c r="V331" i="2"/>
  <c r="M331" i="2"/>
  <c r="I331" i="2"/>
  <c r="D331" i="2"/>
  <c r="O33" i="1"/>
  <c r="F13" i="1" s="1"/>
  <c r="E164" i="2"/>
  <c r="T164" i="2"/>
  <c r="D164" i="2"/>
  <c r="O164" i="2"/>
  <c r="N164" i="2"/>
  <c r="M164" i="2"/>
  <c r="V164" i="2"/>
  <c r="S164" i="2"/>
  <c r="R164" i="2"/>
  <c r="G164" i="2"/>
  <c r="F164" i="2"/>
  <c r="Q164" i="2"/>
  <c r="L164" i="2"/>
  <c r="K164" i="2"/>
  <c r="J164" i="2"/>
  <c r="I164" i="2"/>
  <c r="H164" i="2"/>
  <c r="P164" i="2"/>
  <c r="P20" i="5"/>
  <c r="Q20" i="5" s="1"/>
  <c r="M20" i="5"/>
  <c r="N20" i="5" s="1"/>
  <c r="O20" i="5" s="1"/>
  <c r="L17" i="3"/>
  <c r="R74" i="2"/>
  <c r="Q74" i="2"/>
  <c r="P74" i="2"/>
  <c r="O74" i="2"/>
  <c r="N74" i="2"/>
  <c r="T74" i="2"/>
  <c r="I74" i="2"/>
  <c r="L74" i="2"/>
  <c r="K74" i="2"/>
  <c r="J74" i="2"/>
  <c r="H74" i="2"/>
  <c r="G74" i="2"/>
  <c r="F74" i="2"/>
  <c r="E74" i="2"/>
  <c r="V74" i="2"/>
  <c r="S74" i="2"/>
  <c r="M74" i="2"/>
  <c r="D74" i="2"/>
  <c r="I47" i="2"/>
  <c r="H47" i="2"/>
  <c r="G47" i="2"/>
  <c r="V47" i="2"/>
  <c r="F47" i="2"/>
  <c r="E47" i="2"/>
  <c r="Q47" i="2"/>
  <c r="K47" i="2"/>
  <c r="J47" i="2"/>
  <c r="D47" i="2"/>
  <c r="T47" i="2"/>
  <c r="N47" i="2"/>
  <c r="M47" i="2"/>
  <c r="L47" i="2"/>
  <c r="S47" i="2"/>
  <c r="R47" i="2"/>
  <c r="P47" i="2"/>
  <c r="O47" i="2"/>
  <c r="R187" i="2"/>
  <c r="Q187" i="2"/>
  <c r="L187" i="2"/>
  <c r="K187" i="2"/>
  <c r="J187" i="2"/>
  <c r="F187" i="2"/>
  <c r="E187" i="2"/>
  <c r="D187" i="2"/>
  <c r="T187" i="2"/>
  <c r="S187" i="2"/>
  <c r="P187" i="2"/>
  <c r="O187" i="2"/>
  <c r="N187" i="2"/>
  <c r="I187" i="2"/>
  <c r="H187" i="2"/>
  <c r="G187" i="2"/>
  <c r="V187" i="2"/>
  <c r="M187" i="2"/>
  <c r="G215" i="2"/>
  <c r="P215" i="2"/>
  <c r="N215" i="2"/>
  <c r="M215" i="2"/>
  <c r="E215" i="2"/>
  <c r="D215" i="2"/>
  <c r="V215" i="2"/>
  <c r="T215" i="2"/>
  <c r="S215" i="2"/>
  <c r="R215" i="2"/>
  <c r="Q215" i="2"/>
  <c r="K215" i="2"/>
  <c r="J215" i="2"/>
  <c r="I215" i="2"/>
  <c r="H215" i="2"/>
  <c r="O215" i="2"/>
  <c r="L215" i="2"/>
  <c r="F215" i="2"/>
  <c r="N251" i="2"/>
  <c r="J251" i="2"/>
  <c r="E251" i="2"/>
  <c r="S251" i="2"/>
  <c r="T251" i="2"/>
  <c r="P251" i="2"/>
  <c r="O251" i="2"/>
  <c r="M251" i="2"/>
  <c r="F251" i="2"/>
  <c r="D251" i="2"/>
  <c r="V251" i="2"/>
  <c r="R251" i="2"/>
  <c r="Q251" i="2"/>
  <c r="I251" i="2"/>
  <c r="K251" i="2"/>
  <c r="H251" i="2"/>
  <c r="G251" i="2"/>
  <c r="L251" i="2"/>
  <c r="V307" i="2"/>
  <c r="F307" i="2"/>
  <c r="S307" i="2"/>
  <c r="R307" i="2"/>
  <c r="G307" i="2"/>
  <c r="T307" i="2"/>
  <c r="M307" i="2"/>
  <c r="J307" i="2"/>
  <c r="I307" i="2"/>
  <c r="H307" i="2"/>
  <c r="K307" i="2"/>
  <c r="D307" i="2"/>
  <c r="P307" i="2"/>
  <c r="Q307" i="2"/>
  <c r="O307" i="2"/>
  <c r="N307" i="2"/>
  <c r="L307" i="2"/>
  <c r="E307" i="2"/>
  <c r="H330" i="2"/>
  <c r="T330" i="2"/>
  <c r="D330" i="2"/>
  <c r="S330" i="2"/>
  <c r="P330" i="2"/>
  <c r="M330" i="2"/>
  <c r="K330" i="2"/>
  <c r="J330" i="2"/>
  <c r="F330" i="2"/>
  <c r="E330" i="2"/>
  <c r="O330" i="2"/>
  <c r="I330" i="2"/>
  <c r="G330" i="2"/>
  <c r="R330" i="2"/>
  <c r="V330" i="2"/>
  <c r="Q330" i="2"/>
  <c r="N330" i="2"/>
  <c r="L330" i="2"/>
  <c r="L12" i="2"/>
  <c r="T12" i="2"/>
  <c r="V30" i="2" s="1"/>
  <c r="M12" i="2"/>
  <c r="P12" i="2"/>
  <c r="N12" i="2"/>
  <c r="Q12" i="2"/>
  <c r="O12" i="2"/>
  <c r="R12" i="2"/>
  <c r="P30" i="9"/>
  <c r="Q30" i="9" s="1"/>
  <c r="M30" i="9"/>
  <c r="N30" i="9" s="1"/>
  <c r="O30" i="9" s="1"/>
  <c r="L30" i="6"/>
  <c r="M26" i="8"/>
  <c r="N26" i="8" s="1"/>
  <c r="O26" i="8" s="1"/>
  <c r="P26" i="8"/>
  <c r="Q26" i="8" s="1"/>
  <c r="M26" i="3"/>
  <c r="N26" i="3" s="1"/>
  <c r="O26" i="3" s="1"/>
  <c r="P26" i="3"/>
  <c r="Q26" i="3" s="1"/>
  <c r="J101" i="2"/>
  <c r="I101" i="2"/>
  <c r="H101" i="2"/>
  <c r="G101" i="2"/>
  <c r="V101" i="2"/>
  <c r="F101" i="2"/>
  <c r="R101" i="2"/>
  <c r="Q101" i="2"/>
  <c r="P101" i="2"/>
  <c r="O101" i="2"/>
  <c r="N101" i="2"/>
  <c r="L101" i="2"/>
  <c r="K101" i="2"/>
  <c r="T101" i="2"/>
  <c r="S101" i="2"/>
  <c r="E101" i="2"/>
  <c r="M101" i="2"/>
  <c r="D101" i="2"/>
  <c r="R171" i="2"/>
  <c r="Q171" i="2"/>
  <c r="L171" i="2"/>
  <c r="K171" i="2"/>
  <c r="J171" i="2"/>
  <c r="P171" i="2"/>
  <c r="O171" i="2"/>
  <c r="N171" i="2"/>
  <c r="M171" i="2"/>
  <c r="I171" i="2"/>
  <c r="T171" i="2"/>
  <c r="S171" i="2"/>
  <c r="H171" i="2"/>
  <c r="G171" i="2"/>
  <c r="V171" i="2"/>
  <c r="F171" i="2"/>
  <c r="E171" i="2"/>
  <c r="D171" i="2"/>
  <c r="V199" i="2"/>
  <c r="F199" i="2"/>
  <c r="E199" i="2"/>
  <c r="P199" i="2"/>
  <c r="O199" i="2"/>
  <c r="N199" i="2"/>
  <c r="J199" i="2"/>
  <c r="I199" i="2"/>
  <c r="H199" i="2"/>
  <c r="G199" i="2"/>
  <c r="D199" i="2"/>
  <c r="L199" i="2"/>
  <c r="K199" i="2"/>
  <c r="T199" i="2"/>
  <c r="S199" i="2"/>
  <c r="Q199" i="2"/>
  <c r="R199" i="2"/>
  <c r="M199" i="2"/>
  <c r="E86" i="2"/>
  <c r="T86" i="2"/>
  <c r="D86" i="2"/>
  <c r="S86" i="2"/>
  <c r="R86" i="2"/>
  <c r="Q86" i="2"/>
  <c r="I86" i="2"/>
  <c r="H86" i="2"/>
  <c r="G86" i="2"/>
  <c r="F86" i="2"/>
  <c r="V86" i="2"/>
  <c r="K86" i="2"/>
  <c r="J86" i="2"/>
  <c r="N86" i="2"/>
  <c r="M86" i="2"/>
  <c r="L86" i="2"/>
  <c r="P86" i="2"/>
  <c r="O86" i="2"/>
  <c r="V259" i="2"/>
  <c r="F259" i="2"/>
  <c r="R259" i="2"/>
  <c r="T259" i="2"/>
  <c r="P259" i="2"/>
  <c r="O259" i="2"/>
  <c r="E259" i="2"/>
  <c r="S259" i="2"/>
  <c r="M259" i="2"/>
  <c r="L259" i="2"/>
  <c r="K259" i="2"/>
  <c r="J259" i="2"/>
  <c r="I259" i="2"/>
  <c r="H259" i="2"/>
  <c r="N259" i="2"/>
  <c r="G259" i="2"/>
  <c r="D259" i="2"/>
  <c r="Q259" i="2"/>
  <c r="S174" i="2"/>
  <c r="R174" i="2"/>
  <c r="M174" i="2"/>
  <c r="L174" i="2"/>
  <c r="K174" i="2"/>
  <c r="V174" i="2"/>
  <c r="T174" i="2"/>
  <c r="Q174" i="2"/>
  <c r="P174" i="2"/>
  <c r="O174" i="2"/>
  <c r="N174" i="2"/>
  <c r="J174" i="2"/>
  <c r="I174" i="2"/>
  <c r="H174" i="2"/>
  <c r="G174" i="2"/>
  <c r="F174" i="2"/>
  <c r="E174" i="2"/>
  <c r="D174" i="2"/>
  <c r="R232" i="2"/>
  <c r="N232" i="2"/>
  <c r="T232" i="2"/>
  <c r="D232" i="2"/>
  <c r="V232" i="2"/>
  <c r="L232" i="2"/>
  <c r="K232" i="2"/>
  <c r="J232" i="2"/>
  <c r="I232" i="2"/>
  <c r="H232" i="2"/>
  <c r="F232" i="2"/>
  <c r="E232" i="2"/>
  <c r="S232" i="2"/>
  <c r="O232" i="2"/>
  <c r="M232" i="2"/>
  <c r="G232" i="2"/>
  <c r="P232" i="2"/>
  <c r="Q232" i="2"/>
  <c r="K290" i="2"/>
  <c r="H290" i="2"/>
  <c r="G290" i="2"/>
  <c r="I290" i="2"/>
  <c r="D290" i="2"/>
  <c r="V290" i="2"/>
  <c r="S290" i="2"/>
  <c r="R290" i="2"/>
  <c r="M290" i="2"/>
  <c r="Q290" i="2"/>
  <c r="P290" i="2"/>
  <c r="O290" i="2"/>
  <c r="N290" i="2"/>
  <c r="L290" i="2"/>
  <c r="T290" i="2"/>
  <c r="J290" i="2"/>
  <c r="F290" i="2"/>
  <c r="E290" i="2"/>
  <c r="R350" i="2"/>
  <c r="F350" i="2"/>
  <c r="V350" i="2"/>
  <c r="E350" i="2"/>
  <c r="S350" i="2"/>
  <c r="Q350" i="2"/>
  <c r="T350" i="2"/>
  <c r="N350" i="2"/>
  <c r="M350" i="2"/>
  <c r="P350" i="2"/>
  <c r="O350" i="2"/>
  <c r="L350" i="2"/>
  <c r="G350" i="2"/>
  <c r="D350" i="2"/>
  <c r="K350" i="2"/>
  <c r="J350" i="2"/>
  <c r="I350" i="2"/>
  <c r="H350" i="2"/>
  <c r="S282" i="2"/>
  <c r="P282" i="2"/>
  <c r="O282" i="2"/>
  <c r="T282" i="2"/>
  <c r="N282" i="2"/>
  <c r="M282" i="2"/>
  <c r="I282" i="2"/>
  <c r="V282" i="2"/>
  <c r="R282" i="2"/>
  <c r="Q282" i="2"/>
  <c r="J282" i="2"/>
  <c r="L282" i="2"/>
  <c r="K282" i="2"/>
  <c r="H282" i="2"/>
  <c r="G282" i="2"/>
  <c r="D282" i="2"/>
  <c r="F282" i="2"/>
  <c r="E282" i="2"/>
  <c r="E365" i="2"/>
  <c r="S365" i="2"/>
  <c r="O365" i="2"/>
  <c r="I365" i="2"/>
  <c r="H365" i="2"/>
  <c r="D365" i="2"/>
  <c r="F365" i="2"/>
  <c r="Q365" i="2"/>
  <c r="P365" i="2"/>
  <c r="L365" i="2"/>
  <c r="K365" i="2"/>
  <c r="M365" i="2"/>
  <c r="R365" i="2"/>
  <c r="N365" i="2"/>
  <c r="V365" i="2"/>
  <c r="T365" i="2"/>
  <c r="J365" i="2"/>
  <c r="G365" i="2"/>
  <c r="N38" i="2"/>
  <c r="M38" i="2"/>
  <c r="T38" i="2"/>
  <c r="O38" i="2"/>
  <c r="P38" i="2"/>
  <c r="L38" i="2"/>
  <c r="Q38" i="2"/>
  <c r="R38" i="2"/>
  <c r="P25" i="9"/>
  <c r="Q25" i="9" s="1"/>
  <c r="M25" i="9"/>
  <c r="N25" i="9" s="1"/>
  <c r="O25" i="9" s="1"/>
  <c r="P21" i="7"/>
  <c r="Q21" i="7" s="1"/>
  <c r="M21" i="7"/>
  <c r="N21" i="7" s="1"/>
  <c r="O21" i="7" s="1"/>
  <c r="M233" i="2"/>
  <c r="I233" i="2"/>
  <c r="Q233" i="2"/>
  <c r="T233" i="2"/>
  <c r="S233" i="2"/>
  <c r="K233" i="2"/>
  <c r="O233" i="2"/>
  <c r="N233" i="2"/>
  <c r="L233" i="2"/>
  <c r="J233" i="2"/>
  <c r="G233" i="2"/>
  <c r="F233" i="2"/>
  <c r="E233" i="2"/>
  <c r="D233" i="2"/>
  <c r="V233" i="2"/>
  <c r="R233" i="2"/>
  <c r="P233" i="2"/>
  <c r="H233" i="2"/>
  <c r="P149" i="2"/>
  <c r="O149" i="2"/>
  <c r="J149" i="2"/>
  <c r="I149" i="2"/>
  <c r="H149" i="2"/>
  <c r="M149" i="2"/>
  <c r="L149" i="2"/>
  <c r="K149" i="2"/>
  <c r="G149" i="2"/>
  <c r="F149" i="2"/>
  <c r="D149" i="2"/>
  <c r="T149" i="2"/>
  <c r="V149" i="2"/>
  <c r="S149" i="2"/>
  <c r="R149" i="2"/>
  <c r="Q149" i="2"/>
  <c r="E149" i="2"/>
  <c r="N149" i="2"/>
  <c r="E102" i="2"/>
  <c r="T102" i="2"/>
  <c r="D102" i="2"/>
  <c r="S102" i="2"/>
  <c r="R102" i="2"/>
  <c r="Q102" i="2"/>
  <c r="V102" i="2"/>
  <c r="P102" i="2"/>
  <c r="O102" i="2"/>
  <c r="N102" i="2"/>
  <c r="J102" i="2"/>
  <c r="I102" i="2"/>
  <c r="H102" i="2"/>
  <c r="M102" i="2"/>
  <c r="L102" i="2"/>
  <c r="K102" i="2"/>
  <c r="G102" i="2"/>
  <c r="F102" i="2"/>
  <c r="S190" i="2"/>
  <c r="R190" i="2"/>
  <c r="M190" i="2"/>
  <c r="L190" i="2"/>
  <c r="K190" i="2"/>
  <c r="N190" i="2"/>
  <c r="J190" i="2"/>
  <c r="I190" i="2"/>
  <c r="H190" i="2"/>
  <c r="G190" i="2"/>
  <c r="V190" i="2"/>
  <c r="T190" i="2"/>
  <c r="Q190" i="2"/>
  <c r="O190" i="2"/>
  <c r="F190" i="2"/>
  <c r="E190" i="2"/>
  <c r="D190" i="2"/>
  <c r="P190" i="2"/>
  <c r="S298" i="2"/>
  <c r="P298" i="2"/>
  <c r="O298" i="2"/>
  <c r="R298" i="2"/>
  <c r="M298" i="2"/>
  <c r="L298" i="2"/>
  <c r="K298" i="2"/>
  <c r="D298" i="2"/>
  <c r="F298" i="2"/>
  <c r="E298" i="2"/>
  <c r="T298" i="2"/>
  <c r="Q298" i="2"/>
  <c r="N298" i="2"/>
  <c r="V298" i="2"/>
  <c r="J298" i="2"/>
  <c r="I298" i="2"/>
  <c r="H298" i="2"/>
  <c r="G298" i="2"/>
  <c r="M110" i="2"/>
  <c r="L110" i="2"/>
  <c r="K110" i="2"/>
  <c r="J110" i="2"/>
  <c r="I110" i="2"/>
  <c r="Q110" i="2"/>
  <c r="P110" i="2"/>
  <c r="O110" i="2"/>
  <c r="N110" i="2"/>
  <c r="H110" i="2"/>
  <c r="G110" i="2"/>
  <c r="F110" i="2"/>
  <c r="E110" i="2"/>
  <c r="V110" i="2"/>
  <c r="T110" i="2"/>
  <c r="R110" i="2"/>
  <c r="S110" i="2"/>
  <c r="D110" i="2"/>
  <c r="M19" i="10"/>
  <c r="N19" i="10" s="1"/>
  <c r="O19" i="10" s="1"/>
  <c r="P19" i="10"/>
  <c r="Q19" i="10" s="1"/>
  <c r="M140" i="2"/>
  <c r="L140" i="2"/>
  <c r="G140" i="2"/>
  <c r="V140" i="2"/>
  <c r="F140" i="2"/>
  <c r="E140" i="2"/>
  <c r="P140" i="2"/>
  <c r="O140" i="2"/>
  <c r="N140" i="2"/>
  <c r="K140" i="2"/>
  <c r="J140" i="2"/>
  <c r="T140" i="2"/>
  <c r="S140" i="2"/>
  <c r="I140" i="2"/>
  <c r="H140" i="2"/>
  <c r="R140" i="2"/>
  <c r="Q140" i="2"/>
  <c r="D140" i="2"/>
  <c r="L24" i="10"/>
  <c r="M32" i="7"/>
  <c r="N32" i="7" s="1"/>
  <c r="O32" i="7" s="1"/>
  <c r="P32" i="7"/>
  <c r="Q32" i="7" s="1"/>
  <c r="P32" i="8"/>
  <c r="Q32" i="8" s="1"/>
  <c r="M32" i="8"/>
  <c r="N32" i="8" s="1"/>
  <c r="O32" i="8" s="1"/>
  <c r="L20" i="3"/>
  <c r="P17" i="9"/>
  <c r="Q17" i="9" s="1"/>
  <c r="M17" i="9"/>
  <c r="N17" i="9" s="1"/>
  <c r="O17" i="9" s="1"/>
  <c r="L22" i="10"/>
  <c r="P27" i="7"/>
  <c r="Q27" i="7" s="1"/>
  <c r="M27" i="7"/>
  <c r="N27" i="7" s="1"/>
  <c r="O27" i="7" s="1"/>
  <c r="P37" i="7"/>
  <c r="Q37" i="7" s="1"/>
  <c r="M37" i="7"/>
  <c r="N37" i="7" s="1"/>
  <c r="O37" i="7" s="1"/>
  <c r="P14" i="8"/>
  <c r="M14" i="8"/>
  <c r="N14" i="8" s="1"/>
  <c r="O14" i="8" s="1"/>
  <c r="L36" i="3"/>
  <c r="Q16" i="9"/>
  <c r="P52" i="2"/>
  <c r="O52" i="2"/>
  <c r="N52" i="2"/>
  <c r="M52" i="2"/>
  <c r="L52" i="2"/>
  <c r="R52" i="2"/>
  <c r="Q52" i="2"/>
  <c r="F52" i="2"/>
  <c r="T52" i="2"/>
  <c r="S52" i="2"/>
  <c r="K52" i="2"/>
  <c r="J52" i="2"/>
  <c r="I52" i="2"/>
  <c r="H52" i="2"/>
  <c r="G52" i="2"/>
  <c r="D52" i="2"/>
  <c r="E52" i="2"/>
  <c r="V52" i="2"/>
  <c r="N159" i="2"/>
  <c r="M159" i="2"/>
  <c r="H159" i="2"/>
  <c r="G159" i="2"/>
  <c r="V159" i="2"/>
  <c r="F159" i="2"/>
  <c r="L159" i="2"/>
  <c r="K159" i="2"/>
  <c r="J159" i="2"/>
  <c r="I159" i="2"/>
  <c r="E159" i="2"/>
  <c r="O159" i="2"/>
  <c r="D159" i="2"/>
  <c r="T159" i="2"/>
  <c r="S159" i="2"/>
  <c r="R159" i="2"/>
  <c r="Q159" i="2"/>
  <c r="P159" i="2"/>
  <c r="I130" i="2"/>
  <c r="H130" i="2"/>
  <c r="G130" i="2"/>
  <c r="V130" i="2"/>
  <c r="F130" i="2"/>
  <c r="E130" i="2"/>
  <c r="O130" i="2"/>
  <c r="N130" i="2"/>
  <c r="M130" i="2"/>
  <c r="L130" i="2"/>
  <c r="K130" i="2"/>
  <c r="P130" i="2"/>
  <c r="J130" i="2"/>
  <c r="T130" i="2"/>
  <c r="S130" i="2"/>
  <c r="R130" i="2"/>
  <c r="Q130" i="2"/>
  <c r="D130" i="2"/>
  <c r="R58" i="2"/>
  <c r="Q58" i="2"/>
  <c r="P58" i="2"/>
  <c r="O58" i="2"/>
  <c r="N58" i="2"/>
  <c r="G58" i="2"/>
  <c r="F58" i="2"/>
  <c r="H58" i="2"/>
  <c r="E58" i="2"/>
  <c r="D58" i="2"/>
  <c r="V58" i="2"/>
  <c r="T58" i="2"/>
  <c r="M58" i="2"/>
  <c r="K58" i="2"/>
  <c r="J58" i="2"/>
  <c r="I58" i="2"/>
  <c r="L58" i="2"/>
  <c r="S58" i="2"/>
  <c r="I79" i="2"/>
  <c r="H79" i="2"/>
  <c r="G79" i="2"/>
  <c r="V79" i="2"/>
  <c r="F79" i="2"/>
  <c r="E79" i="2"/>
  <c r="J79" i="2"/>
  <c r="D79" i="2"/>
  <c r="S79" i="2"/>
  <c r="R79" i="2"/>
  <c r="Q79" i="2"/>
  <c r="T79" i="2"/>
  <c r="O79" i="2"/>
  <c r="M79" i="2"/>
  <c r="P79" i="2"/>
  <c r="N79" i="2"/>
  <c r="L79" i="2"/>
  <c r="K79" i="2"/>
  <c r="K204" i="2"/>
  <c r="J204" i="2"/>
  <c r="G204" i="2"/>
  <c r="F204" i="2"/>
  <c r="E204" i="2"/>
  <c r="S204" i="2"/>
  <c r="R204" i="2"/>
  <c r="Q204" i="2"/>
  <c r="O204" i="2"/>
  <c r="N204" i="2"/>
  <c r="M204" i="2"/>
  <c r="L204" i="2"/>
  <c r="I204" i="2"/>
  <c r="V204" i="2"/>
  <c r="T204" i="2"/>
  <c r="P204" i="2"/>
  <c r="H204" i="2"/>
  <c r="D204" i="2"/>
  <c r="G73" i="2"/>
  <c r="V73" i="2"/>
  <c r="F73" i="2"/>
  <c r="E73" i="2"/>
  <c r="T73" i="2"/>
  <c r="D73" i="2"/>
  <c r="S73" i="2"/>
  <c r="P73" i="2"/>
  <c r="O73" i="2"/>
  <c r="I73" i="2"/>
  <c r="H73" i="2"/>
  <c r="R73" i="2"/>
  <c r="N73" i="2"/>
  <c r="L73" i="2"/>
  <c r="M73" i="2"/>
  <c r="K73" i="2"/>
  <c r="Q73" i="2"/>
  <c r="J73" i="2"/>
  <c r="H127" i="2"/>
  <c r="G127" i="2"/>
  <c r="V127" i="2"/>
  <c r="F127" i="2"/>
  <c r="E127" i="2"/>
  <c r="T127" i="2"/>
  <c r="D127" i="2"/>
  <c r="J127" i="2"/>
  <c r="I127" i="2"/>
  <c r="L127" i="2"/>
  <c r="K127" i="2"/>
  <c r="S127" i="2"/>
  <c r="R127" i="2"/>
  <c r="Q127" i="2"/>
  <c r="P127" i="2"/>
  <c r="O127" i="2"/>
  <c r="N127" i="2"/>
  <c r="M127" i="2"/>
  <c r="V183" i="2"/>
  <c r="F183" i="2"/>
  <c r="E183" i="2"/>
  <c r="P183" i="2"/>
  <c r="O183" i="2"/>
  <c r="N183" i="2"/>
  <c r="T183" i="2"/>
  <c r="S183" i="2"/>
  <c r="R183" i="2"/>
  <c r="Q183" i="2"/>
  <c r="M183" i="2"/>
  <c r="D183" i="2"/>
  <c r="I183" i="2"/>
  <c r="H183" i="2"/>
  <c r="G183" i="2"/>
  <c r="L183" i="2"/>
  <c r="K183" i="2"/>
  <c r="J183" i="2"/>
  <c r="H157" i="2"/>
  <c r="G157" i="2"/>
  <c r="R157" i="2"/>
  <c r="Q157" i="2"/>
  <c r="P157" i="2"/>
  <c r="I157" i="2"/>
  <c r="F157" i="2"/>
  <c r="E157" i="2"/>
  <c r="D157" i="2"/>
  <c r="K157" i="2"/>
  <c r="J157" i="2"/>
  <c r="V157" i="2"/>
  <c r="T157" i="2"/>
  <c r="S157" i="2"/>
  <c r="O157" i="2"/>
  <c r="N157" i="2"/>
  <c r="M157" i="2"/>
  <c r="L157" i="2"/>
  <c r="P197" i="2"/>
  <c r="O197" i="2"/>
  <c r="J197" i="2"/>
  <c r="I197" i="2"/>
  <c r="H197" i="2"/>
  <c r="E197" i="2"/>
  <c r="D197" i="2"/>
  <c r="V197" i="2"/>
  <c r="N197" i="2"/>
  <c r="M197" i="2"/>
  <c r="L197" i="2"/>
  <c r="K197" i="2"/>
  <c r="G197" i="2"/>
  <c r="T197" i="2"/>
  <c r="S197" i="2"/>
  <c r="R197" i="2"/>
  <c r="Q197" i="2"/>
  <c r="F197" i="2"/>
  <c r="H234" i="2"/>
  <c r="T234" i="2"/>
  <c r="D234" i="2"/>
  <c r="N234" i="2"/>
  <c r="S234" i="2"/>
  <c r="R234" i="2"/>
  <c r="Q234" i="2"/>
  <c r="J234" i="2"/>
  <c r="V234" i="2"/>
  <c r="P234" i="2"/>
  <c r="O234" i="2"/>
  <c r="L234" i="2"/>
  <c r="K234" i="2"/>
  <c r="I234" i="2"/>
  <c r="G234" i="2"/>
  <c r="F234" i="2"/>
  <c r="E234" i="2"/>
  <c r="M234" i="2"/>
  <c r="P203" i="2"/>
  <c r="O203" i="2"/>
  <c r="J203" i="2"/>
  <c r="I203" i="2"/>
  <c r="H203" i="2"/>
  <c r="V203" i="2"/>
  <c r="D203" i="2"/>
  <c r="T203" i="2"/>
  <c r="G203" i="2"/>
  <c r="F203" i="2"/>
  <c r="E203" i="2"/>
  <c r="S203" i="2"/>
  <c r="N203" i="2"/>
  <c r="M203" i="2"/>
  <c r="L203" i="2"/>
  <c r="R203" i="2"/>
  <c r="Q203" i="2"/>
  <c r="K203" i="2"/>
  <c r="M309" i="2"/>
  <c r="L309" i="2"/>
  <c r="I309" i="2"/>
  <c r="H309" i="2"/>
  <c r="D309" i="2"/>
  <c r="T309" i="2"/>
  <c r="S309" i="2"/>
  <c r="J309" i="2"/>
  <c r="G309" i="2"/>
  <c r="V309" i="2"/>
  <c r="K309" i="2"/>
  <c r="P309" i="2"/>
  <c r="O309" i="2"/>
  <c r="N309" i="2"/>
  <c r="F309" i="2"/>
  <c r="R309" i="2"/>
  <c r="Q309" i="2"/>
  <c r="E309" i="2"/>
  <c r="T193" i="2"/>
  <c r="D193" i="2"/>
  <c r="S193" i="2"/>
  <c r="N193" i="2"/>
  <c r="M193" i="2"/>
  <c r="L193" i="2"/>
  <c r="R193" i="2"/>
  <c r="Q193" i="2"/>
  <c r="P193" i="2"/>
  <c r="O193" i="2"/>
  <c r="I193" i="2"/>
  <c r="H193" i="2"/>
  <c r="G193" i="2"/>
  <c r="V193" i="2"/>
  <c r="K193" i="2"/>
  <c r="J193" i="2"/>
  <c r="F193" i="2"/>
  <c r="E193" i="2"/>
  <c r="I268" i="2"/>
  <c r="V268" i="2"/>
  <c r="F268" i="2"/>
  <c r="E268" i="2"/>
  <c r="Q268" i="2"/>
  <c r="N268" i="2"/>
  <c r="M268" i="2"/>
  <c r="L268" i="2"/>
  <c r="H268" i="2"/>
  <c r="G268" i="2"/>
  <c r="D268" i="2"/>
  <c r="R268" i="2"/>
  <c r="P268" i="2"/>
  <c r="O268" i="2"/>
  <c r="S268" i="2"/>
  <c r="K268" i="2"/>
  <c r="J268" i="2"/>
  <c r="T268" i="2"/>
  <c r="M280" i="2"/>
  <c r="J280" i="2"/>
  <c r="I280" i="2"/>
  <c r="R280" i="2"/>
  <c r="Q280" i="2"/>
  <c r="L280" i="2"/>
  <c r="D280" i="2"/>
  <c r="F280" i="2"/>
  <c r="E280" i="2"/>
  <c r="T280" i="2"/>
  <c r="V280" i="2"/>
  <c r="S280" i="2"/>
  <c r="O280" i="2"/>
  <c r="N280" i="2"/>
  <c r="K280" i="2"/>
  <c r="H280" i="2"/>
  <c r="P280" i="2"/>
  <c r="G280" i="2"/>
  <c r="M248" i="2"/>
  <c r="P248" i="2"/>
  <c r="K248" i="2"/>
  <c r="V248" i="2"/>
  <c r="O248" i="2"/>
  <c r="N248" i="2"/>
  <c r="L248" i="2"/>
  <c r="R248" i="2"/>
  <c r="Q248" i="2"/>
  <c r="J248" i="2"/>
  <c r="D248" i="2"/>
  <c r="S248" i="2"/>
  <c r="I248" i="2"/>
  <c r="H248" i="2"/>
  <c r="G248" i="2"/>
  <c r="T248" i="2"/>
  <c r="F248" i="2"/>
  <c r="E248" i="2"/>
  <c r="K306" i="2"/>
  <c r="H306" i="2"/>
  <c r="G306" i="2"/>
  <c r="F306" i="2"/>
  <c r="V306" i="2"/>
  <c r="T306" i="2"/>
  <c r="Q306" i="2"/>
  <c r="P306" i="2"/>
  <c r="J306" i="2"/>
  <c r="L306" i="2"/>
  <c r="I306" i="2"/>
  <c r="E306" i="2"/>
  <c r="S306" i="2"/>
  <c r="R306" i="2"/>
  <c r="O306" i="2"/>
  <c r="M306" i="2"/>
  <c r="D306" i="2"/>
  <c r="N306" i="2"/>
  <c r="R328" i="2"/>
  <c r="N328" i="2"/>
  <c r="M328" i="2"/>
  <c r="T328" i="2"/>
  <c r="P328" i="2"/>
  <c r="H328" i="2"/>
  <c r="G328" i="2"/>
  <c r="D328" i="2"/>
  <c r="S328" i="2"/>
  <c r="Q328" i="2"/>
  <c r="O328" i="2"/>
  <c r="F328" i="2"/>
  <c r="E328" i="2"/>
  <c r="V328" i="2"/>
  <c r="L328" i="2"/>
  <c r="K328" i="2"/>
  <c r="J328" i="2"/>
  <c r="I328" i="2"/>
  <c r="L342" i="2"/>
  <c r="K342" i="2"/>
  <c r="H342" i="2"/>
  <c r="G342" i="2"/>
  <c r="O342" i="2"/>
  <c r="J342" i="2"/>
  <c r="I342" i="2"/>
  <c r="D342" i="2"/>
  <c r="V342" i="2"/>
  <c r="S342" i="2"/>
  <c r="R342" i="2"/>
  <c r="Q342" i="2"/>
  <c r="F342" i="2"/>
  <c r="E342" i="2"/>
  <c r="N342" i="2"/>
  <c r="M342" i="2"/>
  <c r="P342" i="2"/>
  <c r="T342" i="2"/>
  <c r="S347" i="2"/>
  <c r="R347" i="2"/>
  <c r="O347" i="2"/>
  <c r="N347" i="2"/>
  <c r="P347" i="2"/>
  <c r="K347" i="2"/>
  <c r="J347" i="2"/>
  <c r="F347" i="2"/>
  <c r="E347" i="2"/>
  <c r="T347" i="2"/>
  <c r="Q347" i="2"/>
  <c r="M347" i="2"/>
  <c r="L347" i="2"/>
  <c r="V347" i="2"/>
  <c r="I347" i="2"/>
  <c r="G347" i="2"/>
  <c r="D347" i="2"/>
  <c r="H347" i="2"/>
  <c r="M15" i="2"/>
  <c r="L15" i="2"/>
  <c r="N15" i="2"/>
  <c r="Q15" i="2"/>
  <c r="P15" i="2"/>
  <c r="T15" i="2"/>
  <c r="O15" i="2"/>
  <c r="R15" i="2"/>
  <c r="O21" i="2"/>
  <c r="N21" i="2"/>
  <c r="M21" i="2"/>
  <c r="L21" i="2"/>
  <c r="P21" i="2"/>
  <c r="T21" i="2"/>
  <c r="Q21" i="2"/>
  <c r="R21" i="2"/>
  <c r="D13" i="1"/>
  <c r="N33" i="1"/>
  <c r="R42" i="2"/>
  <c r="Q42" i="2"/>
  <c r="P42" i="2"/>
  <c r="O42" i="2"/>
  <c r="N42" i="2"/>
  <c r="S42" i="2"/>
  <c r="M42" i="2"/>
  <c r="D42" i="2"/>
  <c r="V42" i="2"/>
  <c r="L42" i="2"/>
  <c r="G42" i="2"/>
  <c r="T42" i="2"/>
  <c r="H42" i="2"/>
  <c r="F42" i="2"/>
  <c r="E42" i="2"/>
  <c r="K42" i="2"/>
  <c r="I42" i="2"/>
  <c r="J42" i="2"/>
  <c r="T80" i="2"/>
  <c r="D80" i="2"/>
  <c r="S80" i="2"/>
  <c r="R80" i="2"/>
  <c r="Q80" i="2"/>
  <c r="P80" i="2"/>
  <c r="J80" i="2"/>
  <c r="I80" i="2"/>
  <c r="V80" i="2"/>
  <c r="O80" i="2"/>
  <c r="N80" i="2"/>
  <c r="M80" i="2"/>
  <c r="L80" i="2"/>
  <c r="K80" i="2"/>
  <c r="H80" i="2"/>
  <c r="G80" i="2"/>
  <c r="E80" i="2"/>
  <c r="F80" i="2"/>
  <c r="I192" i="2"/>
  <c r="H192" i="2"/>
  <c r="S192" i="2"/>
  <c r="R192" i="2"/>
  <c r="Q192" i="2"/>
  <c r="P192" i="2"/>
  <c r="O192" i="2"/>
  <c r="N192" i="2"/>
  <c r="M192" i="2"/>
  <c r="L192" i="2"/>
  <c r="T192" i="2"/>
  <c r="K192" i="2"/>
  <c r="J192" i="2"/>
  <c r="G192" i="2"/>
  <c r="D192" i="2"/>
  <c r="V192" i="2"/>
  <c r="F192" i="2"/>
  <c r="E192" i="2"/>
  <c r="Q260" i="2"/>
  <c r="M260" i="2"/>
  <c r="R260" i="2"/>
  <c r="N260" i="2"/>
  <c r="L260" i="2"/>
  <c r="F260" i="2"/>
  <c r="T260" i="2"/>
  <c r="S260" i="2"/>
  <c r="P260" i="2"/>
  <c r="V260" i="2"/>
  <c r="G260" i="2"/>
  <c r="D260" i="2"/>
  <c r="K260" i="2"/>
  <c r="J260" i="2"/>
  <c r="E260" i="2"/>
  <c r="I260" i="2"/>
  <c r="H260" i="2"/>
  <c r="O260" i="2"/>
  <c r="N267" i="2"/>
  <c r="K267" i="2"/>
  <c r="J267" i="2"/>
  <c r="S267" i="2"/>
  <c r="P267" i="2"/>
  <c r="O267" i="2"/>
  <c r="T267" i="2"/>
  <c r="H267" i="2"/>
  <c r="E267" i="2"/>
  <c r="D267" i="2"/>
  <c r="V267" i="2"/>
  <c r="R267" i="2"/>
  <c r="M267" i="2"/>
  <c r="L267" i="2"/>
  <c r="I267" i="2"/>
  <c r="G267" i="2"/>
  <c r="Q267" i="2"/>
  <c r="F267" i="2"/>
  <c r="R247" i="2"/>
  <c r="T247" i="2"/>
  <c r="O247" i="2"/>
  <c r="E247" i="2"/>
  <c r="N247" i="2"/>
  <c r="M247" i="2"/>
  <c r="L247" i="2"/>
  <c r="J247" i="2"/>
  <c r="I247" i="2"/>
  <c r="H247" i="2"/>
  <c r="P247" i="2"/>
  <c r="K247" i="2"/>
  <c r="G247" i="2"/>
  <c r="F247" i="2"/>
  <c r="D247" i="2"/>
  <c r="Q247" i="2"/>
  <c r="V247" i="2"/>
  <c r="S247" i="2"/>
  <c r="N18" i="2"/>
  <c r="M18" i="2"/>
  <c r="L18" i="2"/>
  <c r="O18" i="2"/>
  <c r="T18" i="2"/>
  <c r="R18" i="2"/>
  <c r="P18" i="2"/>
  <c r="Q18" i="2"/>
  <c r="P33" i="9"/>
  <c r="Q33" i="9" s="1"/>
  <c r="M33" i="9"/>
  <c r="N33" i="9" s="1"/>
  <c r="O33" i="9" s="1"/>
  <c r="L24" i="6"/>
  <c r="P26" i="7"/>
  <c r="Q26" i="7" s="1"/>
  <c r="M26" i="7"/>
  <c r="N26" i="7" s="1"/>
  <c r="O26" i="7" s="1"/>
  <c r="O81" i="2"/>
  <c r="N81" i="2"/>
  <c r="M81" i="2"/>
  <c r="L81" i="2"/>
  <c r="K81" i="2"/>
  <c r="J81" i="2"/>
  <c r="I81" i="2"/>
  <c r="V81" i="2"/>
  <c r="T81" i="2"/>
  <c r="S81" i="2"/>
  <c r="Q81" i="2"/>
  <c r="P81" i="2"/>
  <c r="G81" i="2"/>
  <c r="E81" i="2"/>
  <c r="D81" i="2"/>
  <c r="R81" i="2"/>
  <c r="H81" i="2"/>
  <c r="F81" i="2"/>
  <c r="V243" i="2"/>
  <c r="F243" i="2"/>
  <c r="R243" i="2"/>
  <c r="N243" i="2"/>
  <c r="J243" i="2"/>
  <c r="P243" i="2"/>
  <c r="O243" i="2"/>
  <c r="M243" i="2"/>
  <c r="T243" i="2"/>
  <c r="S243" i="2"/>
  <c r="Q243" i="2"/>
  <c r="E243" i="2"/>
  <c r="L243" i="2"/>
  <c r="K243" i="2"/>
  <c r="I243" i="2"/>
  <c r="D243" i="2"/>
  <c r="G243" i="2"/>
  <c r="H243" i="2"/>
  <c r="H265" i="2"/>
  <c r="T265" i="2"/>
  <c r="D265" i="2"/>
  <c r="V265" i="2"/>
  <c r="R265" i="2"/>
  <c r="Q265" i="2"/>
  <c r="M265" i="2"/>
  <c r="F265" i="2"/>
  <c r="P265" i="2"/>
  <c r="O265" i="2"/>
  <c r="N265" i="2"/>
  <c r="K265" i="2"/>
  <c r="J265" i="2"/>
  <c r="I265" i="2"/>
  <c r="L265" i="2"/>
  <c r="G265" i="2"/>
  <c r="E265" i="2"/>
  <c r="S265" i="2"/>
  <c r="P31" i="9"/>
  <c r="Q31" i="9" s="1"/>
  <c r="M31" i="9"/>
  <c r="N31" i="9" s="1"/>
  <c r="O31" i="9" s="1"/>
  <c r="P27" i="9"/>
  <c r="Q27" i="9" s="1"/>
  <c r="M27" i="9"/>
  <c r="N27" i="9" s="1"/>
  <c r="O27" i="9" s="1"/>
  <c r="P14" i="5"/>
  <c r="M14" i="5"/>
  <c r="N14" i="5" s="1"/>
  <c r="O14" i="5" s="1"/>
  <c r="T39" i="2"/>
  <c r="Q39" i="2"/>
  <c r="L39" i="2"/>
  <c r="M39" i="2"/>
  <c r="R39" i="2"/>
  <c r="O39" i="2"/>
  <c r="P39" i="2"/>
  <c r="N39" i="2"/>
  <c r="P15" i="3"/>
  <c r="Q15" i="3" s="1"/>
  <c r="M15" i="3"/>
  <c r="N15" i="3" s="1"/>
  <c r="O15" i="3" s="1"/>
  <c r="L207" i="2"/>
  <c r="K207" i="2"/>
  <c r="R207" i="2"/>
  <c r="Q207" i="2"/>
  <c r="P207" i="2"/>
  <c r="J207" i="2"/>
  <c r="I207" i="2"/>
  <c r="H207" i="2"/>
  <c r="M207" i="2"/>
  <c r="G207" i="2"/>
  <c r="F207" i="2"/>
  <c r="E207" i="2"/>
  <c r="D207" i="2"/>
  <c r="T207" i="2"/>
  <c r="S207" i="2"/>
  <c r="O207" i="2"/>
  <c r="V207" i="2"/>
  <c r="N207" i="2"/>
  <c r="J255" i="2"/>
  <c r="V255" i="2"/>
  <c r="F255" i="2"/>
  <c r="M255" i="2"/>
  <c r="I255" i="2"/>
  <c r="H255" i="2"/>
  <c r="T255" i="2"/>
  <c r="S255" i="2"/>
  <c r="D255" i="2"/>
  <c r="Q255" i="2"/>
  <c r="R255" i="2"/>
  <c r="P255" i="2"/>
  <c r="N255" i="2"/>
  <c r="L255" i="2"/>
  <c r="K255" i="2"/>
  <c r="G255" i="2"/>
  <c r="O255" i="2"/>
  <c r="E255" i="2"/>
  <c r="M38" i="8"/>
  <c r="N38" i="8" s="1"/>
  <c r="O38" i="8" s="1"/>
  <c r="P38" i="8"/>
  <c r="Q38" i="8" s="1"/>
  <c r="P32" i="5"/>
  <c r="Q32" i="5" s="1"/>
  <c r="M32" i="5"/>
  <c r="N32" i="5" s="1"/>
  <c r="O32" i="5" s="1"/>
  <c r="T19" i="2"/>
  <c r="Q19" i="2"/>
  <c r="R19" i="2"/>
  <c r="P19" i="2"/>
  <c r="O19" i="2"/>
  <c r="L19" i="2"/>
  <c r="N19" i="2"/>
  <c r="M19" i="2"/>
  <c r="T83" i="2"/>
  <c r="S83" i="2"/>
  <c r="R83" i="2"/>
  <c r="Q83" i="2"/>
  <c r="E83" i="2"/>
  <c r="D83" i="2"/>
  <c r="V83" i="2"/>
  <c r="O83" i="2"/>
  <c r="N83" i="2"/>
  <c r="H83" i="2"/>
  <c r="G83" i="2"/>
  <c r="F83" i="2"/>
  <c r="P83" i="2"/>
  <c r="M83" i="2"/>
  <c r="L83" i="2"/>
  <c r="K83" i="2"/>
  <c r="I83" i="2"/>
  <c r="J83" i="2"/>
  <c r="P165" i="2"/>
  <c r="O165" i="2"/>
  <c r="J165" i="2"/>
  <c r="I165" i="2"/>
  <c r="H165" i="2"/>
  <c r="V165" i="2"/>
  <c r="T165" i="2"/>
  <c r="K165" i="2"/>
  <c r="G165" i="2"/>
  <c r="F165" i="2"/>
  <c r="E165" i="2"/>
  <c r="D165" i="2"/>
  <c r="M165" i="2"/>
  <c r="L165" i="2"/>
  <c r="S165" i="2"/>
  <c r="Q165" i="2"/>
  <c r="R165" i="2"/>
  <c r="N165" i="2"/>
  <c r="G278" i="2"/>
  <c r="T278" i="2"/>
  <c r="D278" i="2"/>
  <c r="S278" i="2"/>
  <c r="E278" i="2"/>
  <c r="R278" i="2"/>
  <c r="H278" i="2"/>
  <c r="V278" i="2"/>
  <c r="Q278" i="2"/>
  <c r="P278" i="2"/>
  <c r="O278" i="2"/>
  <c r="K278" i="2"/>
  <c r="J278" i="2"/>
  <c r="I278" i="2"/>
  <c r="N278" i="2"/>
  <c r="L278" i="2"/>
  <c r="F278" i="2"/>
  <c r="M278" i="2"/>
  <c r="L35" i="8"/>
  <c r="L38" i="6"/>
  <c r="P15" i="9"/>
  <c r="M15" i="9"/>
  <c r="N15" i="9" s="1"/>
  <c r="O15" i="9" s="1"/>
  <c r="L20" i="10"/>
  <c r="M15" i="5"/>
  <c r="N15" i="5" s="1"/>
  <c r="O15" i="5" s="1"/>
  <c r="P15" i="5"/>
  <c r="P30" i="4"/>
  <c r="Q30" i="4" s="1"/>
  <c r="M30" i="4"/>
  <c r="N30" i="4" s="1"/>
  <c r="O30" i="4" s="1"/>
  <c r="P35" i="7"/>
  <c r="Q35" i="7" s="1"/>
  <c r="M35" i="7"/>
  <c r="N35" i="7" s="1"/>
  <c r="O35" i="7" s="1"/>
  <c r="M36" i="8"/>
  <c r="N36" i="8" s="1"/>
  <c r="O36" i="8" s="1"/>
  <c r="P36" i="8"/>
  <c r="Q36" i="8" s="1"/>
  <c r="P18" i="5"/>
  <c r="Q18" i="5" s="1"/>
  <c r="M18" i="5"/>
  <c r="N18" i="5" s="1"/>
  <c r="O18" i="5" s="1"/>
  <c r="M35" i="2"/>
  <c r="L35" i="2"/>
  <c r="R35" i="2"/>
  <c r="Q35" i="2"/>
  <c r="P35" i="2"/>
  <c r="O35" i="2"/>
  <c r="N35" i="2"/>
  <c r="T35" i="2"/>
  <c r="L169" i="2"/>
  <c r="K169" i="2"/>
  <c r="V169" i="2"/>
  <c r="F169" i="2"/>
  <c r="E169" i="2"/>
  <c r="T169" i="2"/>
  <c r="D169" i="2"/>
  <c r="M169" i="2"/>
  <c r="J169" i="2"/>
  <c r="I169" i="2"/>
  <c r="H169" i="2"/>
  <c r="G169" i="2"/>
  <c r="S169" i="2"/>
  <c r="R169" i="2"/>
  <c r="Q169" i="2"/>
  <c r="P169" i="2"/>
  <c r="O169" i="2"/>
  <c r="N169" i="2"/>
  <c r="T16" i="2"/>
  <c r="R16" i="2"/>
  <c r="P16" i="2"/>
  <c r="Q16" i="2"/>
  <c r="O16" i="2"/>
  <c r="N16" i="2"/>
  <c r="M16" i="2"/>
  <c r="L16" i="2"/>
  <c r="N62" i="2"/>
  <c r="M62" i="2"/>
  <c r="L62" i="2"/>
  <c r="K62" i="2"/>
  <c r="J62" i="2"/>
  <c r="Q62" i="2"/>
  <c r="P62" i="2"/>
  <c r="E62" i="2"/>
  <c r="G62" i="2"/>
  <c r="F62" i="2"/>
  <c r="D62" i="2"/>
  <c r="V62" i="2"/>
  <c r="S62" i="2"/>
  <c r="O62" i="2"/>
  <c r="R62" i="2"/>
  <c r="I62" i="2"/>
  <c r="H62" i="2"/>
  <c r="T62" i="2"/>
  <c r="Q122" i="2"/>
  <c r="P122" i="2"/>
  <c r="O122" i="2"/>
  <c r="N122" i="2"/>
  <c r="M122" i="2"/>
  <c r="T122" i="2"/>
  <c r="S122" i="2"/>
  <c r="R122" i="2"/>
  <c r="L122" i="2"/>
  <c r="I122" i="2"/>
  <c r="H122" i="2"/>
  <c r="V122" i="2"/>
  <c r="J122" i="2"/>
  <c r="F122" i="2"/>
  <c r="E122" i="2"/>
  <c r="K122" i="2"/>
  <c r="D122" i="2"/>
  <c r="G122" i="2"/>
  <c r="K274" i="2"/>
  <c r="H274" i="2"/>
  <c r="G274" i="2"/>
  <c r="J274" i="2"/>
  <c r="E274" i="2"/>
  <c r="D274" i="2"/>
  <c r="Q274" i="2"/>
  <c r="I274" i="2"/>
  <c r="T274" i="2"/>
  <c r="S274" i="2"/>
  <c r="R274" i="2"/>
  <c r="V274" i="2"/>
  <c r="L274" i="2"/>
  <c r="O274" i="2"/>
  <c r="N274" i="2"/>
  <c r="M274" i="2"/>
  <c r="F274" i="2"/>
  <c r="P274" i="2"/>
  <c r="Q106" i="2"/>
  <c r="P106" i="2"/>
  <c r="O106" i="2"/>
  <c r="N106" i="2"/>
  <c r="M106" i="2"/>
  <c r="G106" i="2"/>
  <c r="F106" i="2"/>
  <c r="E106" i="2"/>
  <c r="D106" i="2"/>
  <c r="J106" i="2"/>
  <c r="I106" i="2"/>
  <c r="V106" i="2"/>
  <c r="T106" i="2"/>
  <c r="S106" i="2"/>
  <c r="R106" i="2"/>
  <c r="L106" i="2"/>
  <c r="K106" i="2"/>
  <c r="H106" i="2"/>
  <c r="H141" i="2"/>
  <c r="G141" i="2"/>
  <c r="R141" i="2"/>
  <c r="Q141" i="2"/>
  <c r="P141" i="2"/>
  <c r="S141" i="2"/>
  <c r="O141" i="2"/>
  <c r="N141" i="2"/>
  <c r="M141" i="2"/>
  <c r="L141" i="2"/>
  <c r="E141" i="2"/>
  <c r="D141" i="2"/>
  <c r="V141" i="2"/>
  <c r="T141" i="2"/>
  <c r="F141" i="2"/>
  <c r="K141" i="2"/>
  <c r="J141" i="2"/>
  <c r="I141" i="2"/>
  <c r="O211" i="2"/>
  <c r="H211" i="2"/>
  <c r="G211" i="2"/>
  <c r="F211" i="2"/>
  <c r="E211" i="2"/>
  <c r="D211" i="2"/>
  <c r="V211" i="2"/>
  <c r="T211" i="2"/>
  <c r="S211" i="2"/>
  <c r="R211" i="2"/>
  <c r="Q211" i="2"/>
  <c r="M211" i="2"/>
  <c r="P211" i="2"/>
  <c r="N211" i="2"/>
  <c r="I211" i="2"/>
  <c r="L211" i="2"/>
  <c r="J211" i="2"/>
  <c r="K211" i="2"/>
  <c r="O178" i="2"/>
  <c r="N178" i="2"/>
  <c r="I178" i="2"/>
  <c r="H178" i="2"/>
  <c r="G178" i="2"/>
  <c r="J178" i="2"/>
  <c r="F178" i="2"/>
  <c r="E178" i="2"/>
  <c r="D178" i="2"/>
  <c r="K178" i="2"/>
  <c r="L178" i="2"/>
  <c r="V178" i="2"/>
  <c r="T178" i="2"/>
  <c r="S178" i="2"/>
  <c r="R178" i="2"/>
  <c r="Q178" i="2"/>
  <c r="P178" i="2"/>
  <c r="M178" i="2"/>
  <c r="O335" i="2"/>
  <c r="N335" i="2"/>
  <c r="K335" i="2"/>
  <c r="J335" i="2"/>
  <c r="L335" i="2"/>
  <c r="G335" i="2"/>
  <c r="T335" i="2"/>
  <c r="Q335" i="2"/>
  <c r="P335" i="2"/>
  <c r="F335" i="2"/>
  <c r="E335" i="2"/>
  <c r="M335" i="2"/>
  <c r="I335" i="2"/>
  <c r="R335" i="2"/>
  <c r="H335" i="2"/>
  <c r="D335" i="2"/>
  <c r="V335" i="2"/>
  <c r="S335" i="2"/>
  <c r="J239" i="2"/>
  <c r="Q239" i="2"/>
  <c r="M239" i="2"/>
  <c r="N239" i="2"/>
  <c r="L239" i="2"/>
  <c r="K239" i="2"/>
  <c r="D239" i="2"/>
  <c r="V239" i="2"/>
  <c r="T239" i="2"/>
  <c r="S239" i="2"/>
  <c r="R239" i="2"/>
  <c r="O239" i="2"/>
  <c r="I239" i="2"/>
  <c r="H239" i="2"/>
  <c r="G239" i="2"/>
  <c r="P239" i="2"/>
  <c r="F239" i="2"/>
  <c r="E239" i="2"/>
  <c r="K242" i="2"/>
  <c r="V242" i="2"/>
  <c r="E242" i="2"/>
  <c r="R242" i="2"/>
  <c r="P242" i="2"/>
  <c r="O242" i="2"/>
  <c r="N242" i="2"/>
  <c r="M242" i="2"/>
  <c r="L242" i="2"/>
  <c r="D242" i="2"/>
  <c r="S242" i="2"/>
  <c r="Q242" i="2"/>
  <c r="J242" i="2"/>
  <c r="I242" i="2"/>
  <c r="G242" i="2"/>
  <c r="F242" i="2"/>
  <c r="T242" i="2"/>
  <c r="H242" i="2"/>
  <c r="Q213" i="2"/>
  <c r="G213" i="2"/>
  <c r="T213" i="2"/>
  <c r="S213" i="2"/>
  <c r="F213" i="2"/>
  <c r="E213" i="2"/>
  <c r="D213" i="2"/>
  <c r="R213" i="2"/>
  <c r="P213" i="2"/>
  <c r="O213" i="2"/>
  <c r="L213" i="2"/>
  <c r="V213" i="2"/>
  <c r="N213" i="2"/>
  <c r="M213" i="2"/>
  <c r="K213" i="2"/>
  <c r="H213" i="2"/>
  <c r="J213" i="2"/>
  <c r="I213" i="2"/>
  <c r="V205" i="2"/>
  <c r="F205" i="2"/>
  <c r="E205" i="2"/>
  <c r="D205" i="2"/>
  <c r="T205" i="2"/>
  <c r="P205" i="2"/>
  <c r="O205" i="2"/>
  <c r="N205" i="2"/>
  <c r="S205" i="2"/>
  <c r="R205" i="2"/>
  <c r="Q205" i="2"/>
  <c r="G205" i="2"/>
  <c r="J205" i="2"/>
  <c r="M205" i="2"/>
  <c r="L205" i="2"/>
  <c r="K205" i="2"/>
  <c r="H205" i="2"/>
  <c r="I205" i="2"/>
  <c r="H281" i="2"/>
  <c r="E281" i="2"/>
  <c r="T281" i="2"/>
  <c r="D281" i="2"/>
  <c r="S281" i="2"/>
  <c r="P281" i="2"/>
  <c r="O281" i="2"/>
  <c r="N281" i="2"/>
  <c r="G281" i="2"/>
  <c r="L281" i="2"/>
  <c r="K281" i="2"/>
  <c r="J281" i="2"/>
  <c r="R281" i="2"/>
  <c r="Q281" i="2"/>
  <c r="M281" i="2"/>
  <c r="F281" i="2"/>
  <c r="V281" i="2"/>
  <c r="I281" i="2"/>
  <c r="I284" i="2"/>
  <c r="V284" i="2"/>
  <c r="F284" i="2"/>
  <c r="E284" i="2"/>
  <c r="P284" i="2"/>
  <c r="M284" i="2"/>
  <c r="L284" i="2"/>
  <c r="Q284" i="2"/>
  <c r="D284" i="2"/>
  <c r="T284" i="2"/>
  <c r="S284" i="2"/>
  <c r="R284" i="2"/>
  <c r="G284" i="2"/>
  <c r="O284" i="2"/>
  <c r="N284" i="2"/>
  <c r="K284" i="2"/>
  <c r="J284" i="2"/>
  <c r="H284" i="2"/>
  <c r="K258" i="2"/>
  <c r="G258" i="2"/>
  <c r="V258" i="2"/>
  <c r="D258" i="2"/>
  <c r="S258" i="2"/>
  <c r="R258" i="2"/>
  <c r="P258" i="2"/>
  <c r="J258" i="2"/>
  <c r="I258" i="2"/>
  <c r="H258" i="2"/>
  <c r="Q258" i="2"/>
  <c r="E258" i="2"/>
  <c r="O258" i="2"/>
  <c r="T258" i="2"/>
  <c r="N258" i="2"/>
  <c r="M258" i="2"/>
  <c r="L258" i="2"/>
  <c r="F258" i="2"/>
  <c r="L326" i="2"/>
  <c r="H326" i="2"/>
  <c r="G326" i="2"/>
  <c r="R326" i="2"/>
  <c r="E326" i="2"/>
  <c r="D326" i="2"/>
  <c r="V326" i="2"/>
  <c r="T326" i="2"/>
  <c r="J326" i="2"/>
  <c r="Q326" i="2"/>
  <c r="S326" i="2"/>
  <c r="P326" i="2"/>
  <c r="N326" i="2"/>
  <c r="K326" i="2"/>
  <c r="I326" i="2"/>
  <c r="F326" i="2"/>
  <c r="O326" i="2"/>
  <c r="M326" i="2"/>
  <c r="M329" i="2"/>
  <c r="I329" i="2"/>
  <c r="H329" i="2"/>
  <c r="R329" i="2"/>
  <c r="O329" i="2"/>
  <c r="J329" i="2"/>
  <c r="G329" i="2"/>
  <c r="D329" i="2"/>
  <c r="E329" i="2"/>
  <c r="N329" i="2"/>
  <c r="L329" i="2"/>
  <c r="P329" i="2"/>
  <c r="K329" i="2"/>
  <c r="F329" i="2"/>
  <c r="S329" i="2"/>
  <c r="V329" i="2"/>
  <c r="T329" i="2"/>
  <c r="Q329" i="2"/>
  <c r="I361" i="2"/>
  <c r="R361" i="2"/>
  <c r="N361" i="2"/>
  <c r="O361" i="2"/>
  <c r="M361" i="2"/>
  <c r="J361" i="2"/>
  <c r="H361" i="2"/>
  <c r="K361" i="2"/>
  <c r="E361" i="2"/>
  <c r="D361" i="2"/>
  <c r="F361" i="2"/>
  <c r="P361" i="2"/>
  <c r="L361" i="2"/>
  <c r="G361" i="2"/>
  <c r="S361" i="2"/>
  <c r="Q361" i="2"/>
  <c r="V361" i="2"/>
  <c r="T361" i="2"/>
  <c r="R356" i="2"/>
  <c r="D356" i="2"/>
  <c r="P356" i="2"/>
  <c r="V356" i="2"/>
  <c r="Q356" i="2"/>
  <c r="O356" i="2"/>
  <c r="K356" i="2"/>
  <c r="H356" i="2"/>
  <c r="G356" i="2"/>
  <c r="N356" i="2"/>
  <c r="M356" i="2"/>
  <c r="I356" i="2"/>
  <c r="F356" i="2"/>
  <c r="T356" i="2"/>
  <c r="L356" i="2"/>
  <c r="S356" i="2"/>
  <c r="J356" i="2"/>
  <c r="E356" i="2"/>
  <c r="L56" i="2"/>
  <c r="K56" i="2"/>
  <c r="J56" i="2"/>
  <c r="I56" i="2"/>
  <c r="H56" i="2"/>
  <c r="V56" i="2"/>
  <c r="P56" i="2"/>
  <c r="S56" i="2"/>
  <c r="R56" i="2"/>
  <c r="Q56" i="2"/>
  <c r="O56" i="2"/>
  <c r="N56" i="2"/>
  <c r="M56" i="2"/>
  <c r="G56" i="2"/>
  <c r="E56" i="2"/>
  <c r="D56" i="2"/>
  <c r="F56" i="2"/>
  <c r="T56" i="2"/>
  <c r="J303" i="2"/>
  <c r="G303" i="2"/>
  <c r="V303" i="2"/>
  <c r="F303" i="2"/>
  <c r="L303" i="2"/>
  <c r="H303" i="2"/>
  <c r="E303" i="2"/>
  <c r="D303" i="2"/>
  <c r="R303" i="2"/>
  <c r="N303" i="2"/>
  <c r="T303" i="2"/>
  <c r="S303" i="2"/>
  <c r="P303" i="2"/>
  <c r="O303" i="2"/>
  <c r="M303" i="2"/>
  <c r="K303" i="2"/>
  <c r="Q303" i="2"/>
  <c r="I303" i="2"/>
  <c r="M27" i="4"/>
  <c r="N27" i="4" s="1"/>
  <c r="O27" i="4" s="1"/>
  <c r="P27" i="4"/>
  <c r="Q27" i="4" s="1"/>
  <c r="P23" i="7"/>
  <c r="Q23" i="7" s="1"/>
  <c r="M23" i="7"/>
  <c r="N23" i="7" s="1"/>
  <c r="O23" i="7" s="1"/>
  <c r="N46" i="2"/>
  <c r="M46" i="2"/>
  <c r="L46" i="2"/>
  <c r="K46" i="2"/>
  <c r="J46" i="2"/>
  <c r="Q46" i="2"/>
  <c r="V46" i="2"/>
  <c r="T46" i="2"/>
  <c r="S46" i="2"/>
  <c r="P46" i="2"/>
  <c r="F46" i="2"/>
  <c r="E46" i="2"/>
  <c r="G46" i="2"/>
  <c r="D46" i="2"/>
  <c r="R46" i="2"/>
  <c r="O46" i="2"/>
  <c r="I46" i="2"/>
  <c r="H46" i="2"/>
  <c r="N299" i="2"/>
  <c r="K299" i="2"/>
  <c r="J299" i="2"/>
  <c r="Q299" i="2"/>
  <c r="M299" i="2"/>
  <c r="L299" i="2"/>
  <c r="I299" i="2"/>
  <c r="F299" i="2"/>
  <c r="E299" i="2"/>
  <c r="R299" i="2"/>
  <c r="P299" i="2"/>
  <c r="O299" i="2"/>
  <c r="T299" i="2"/>
  <c r="H299" i="2"/>
  <c r="G299" i="2"/>
  <c r="D299" i="2"/>
  <c r="S299" i="2"/>
  <c r="V299" i="2"/>
  <c r="P68" i="2"/>
  <c r="O68" i="2"/>
  <c r="N68" i="2"/>
  <c r="M68" i="2"/>
  <c r="L68" i="2"/>
  <c r="F68" i="2"/>
  <c r="E68" i="2"/>
  <c r="T68" i="2"/>
  <c r="V68" i="2"/>
  <c r="S68" i="2"/>
  <c r="R68" i="2"/>
  <c r="Q68" i="2"/>
  <c r="J68" i="2"/>
  <c r="G68" i="2"/>
  <c r="D68" i="2"/>
  <c r="H68" i="2"/>
  <c r="I68" i="2"/>
  <c r="K68" i="2"/>
  <c r="O84" i="2"/>
  <c r="N84" i="2"/>
  <c r="M84" i="2"/>
  <c r="L84" i="2"/>
  <c r="K84" i="2"/>
  <c r="D84" i="2"/>
  <c r="V84" i="2"/>
  <c r="Q84" i="2"/>
  <c r="P84" i="2"/>
  <c r="J84" i="2"/>
  <c r="G84" i="2"/>
  <c r="F84" i="2"/>
  <c r="E84" i="2"/>
  <c r="T84" i="2"/>
  <c r="R84" i="2"/>
  <c r="H84" i="2"/>
  <c r="S84" i="2"/>
  <c r="I84" i="2"/>
  <c r="H297" i="2"/>
  <c r="E297" i="2"/>
  <c r="T297" i="2"/>
  <c r="D297" i="2"/>
  <c r="R297" i="2"/>
  <c r="O297" i="2"/>
  <c r="N297" i="2"/>
  <c r="M297" i="2"/>
  <c r="L297" i="2"/>
  <c r="V297" i="2"/>
  <c r="Q297" i="2"/>
  <c r="F297" i="2"/>
  <c r="P297" i="2"/>
  <c r="S297" i="2"/>
  <c r="K297" i="2"/>
  <c r="I297" i="2"/>
  <c r="G297" i="2"/>
  <c r="J297" i="2"/>
  <c r="P36" i="10"/>
  <c r="Q36" i="10" s="1"/>
  <c r="M36" i="10"/>
  <c r="N36" i="10" s="1"/>
  <c r="O36" i="10" s="1"/>
  <c r="R14" i="2"/>
  <c r="Q14" i="2"/>
  <c r="P14" i="2"/>
  <c r="O14" i="2"/>
  <c r="N14" i="2"/>
  <c r="M14" i="2"/>
  <c r="L14" i="2"/>
  <c r="T14" i="2"/>
  <c r="R279" i="2"/>
  <c r="O279" i="2"/>
  <c r="N279" i="2"/>
  <c r="D279" i="2"/>
  <c r="T279" i="2"/>
  <c r="S279" i="2"/>
  <c r="I279" i="2"/>
  <c r="V279" i="2"/>
  <c r="Q279" i="2"/>
  <c r="H279" i="2"/>
  <c r="F279" i="2"/>
  <c r="E279" i="2"/>
  <c r="M279" i="2"/>
  <c r="G279" i="2"/>
  <c r="K279" i="2"/>
  <c r="L279" i="2"/>
  <c r="J279" i="2"/>
  <c r="P279" i="2"/>
  <c r="P17" i="7"/>
  <c r="Q17" i="7" s="1"/>
  <c r="M17" i="7"/>
  <c r="N17" i="7" s="1"/>
  <c r="O17" i="7" s="1"/>
  <c r="N113" i="2"/>
  <c r="M113" i="2"/>
  <c r="L113" i="2"/>
  <c r="K113" i="2"/>
  <c r="J113" i="2"/>
  <c r="V113" i="2"/>
  <c r="T113" i="2"/>
  <c r="S113" i="2"/>
  <c r="R113" i="2"/>
  <c r="P113" i="2"/>
  <c r="O113" i="2"/>
  <c r="I113" i="2"/>
  <c r="Q113" i="2"/>
  <c r="H113" i="2"/>
  <c r="G113" i="2"/>
  <c r="E113" i="2"/>
  <c r="D113" i="2"/>
  <c r="F113" i="2"/>
  <c r="E67" i="2"/>
  <c r="T67" i="2"/>
  <c r="D67" i="2"/>
  <c r="S67" i="2"/>
  <c r="R67" i="2"/>
  <c r="Q67" i="2"/>
  <c r="F67" i="2"/>
  <c r="O67" i="2"/>
  <c r="P67" i="2"/>
  <c r="N67" i="2"/>
  <c r="M67" i="2"/>
  <c r="L67" i="2"/>
  <c r="K67" i="2"/>
  <c r="J67" i="2"/>
  <c r="I67" i="2"/>
  <c r="G67" i="2"/>
  <c r="H67" i="2"/>
  <c r="V67" i="2"/>
  <c r="J147" i="2"/>
  <c r="I147" i="2"/>
  <c r="T147" i="2"/>
  <c r="D147" i="2"/>
  <c r="S147" i="2"/>
  <c r="R147" i="2"/>
  <c r="H147" i="2"/>
  <c r="G147" i="2"/>
  <c r="F147" i="2"/>
  <c r="E147" i="2"/>
  <c r="O147" i="2"/>
  <c r="N147" i="2"/>
  <c r="M147" i="2"/>
  <c r="L147" i="2"/>
  <c r="K147" i="2"/>
  <c r="Q147" i="2"/>
  <c r="P147" i="2"/>
  <c r="V147" i="2"/>
  <c r="Q341" i="2"/>
  <c r="P341" i="2"/>
  <c r="M341" i="2"/>
  <c r="L341" i="2"/>
  <c r="N341" i="2"/>
  <c r="I341" i="2"/>
  <c r="H341" i="2"/>
  <c r="T341" i="2"/>
  <c r="K341" i="2"/>
  <c r="F341" i="2"/>
  <c r="E341" i="2"/>
  <c r="D341" i="2"/>
  <c r="V341" i="2"/>
  <c r="S341" i="2"/>
  <c r="R341" i="2"/>
  <c r="O341" i="2"/>
  <c r="J341" i="2"/>
  <c r="G341" i="2"/>
  <c r="L28" i="10"/>
  <c r="P33" i="8"/>
  <c r="Q33" i="8" s="1"/>
  <c r="M33" i="8"/>
  <c r="N33" i="8" s="1"/>
  <c r="O33" i="8" s="1"/>
  <c r="E180" i="2"/>
  <c r="T180" i="2"/>
  <c r="D180" i="2"/>
  <c r="O180" i="2"/>
  <c r="N180" i="2"/>
  <c r="M180" i="2"/>
  <c r="L180" i="2"/>
  <c r="K180" i="2"/>
  <c r="J180" i="2"/>
  <c r="I180" i="2"/>
  <c r="H180" i="2"/>
  <c r="P180" i="2"/>
  <c r="G180" i="2"/>
  <c r="F180" i="2"/>
  <c r="V180" i="2"/>
  <c r="R180" i="2"/>
  <c r="Q180" i="2"/>
  <c r="S180" i="2"/>
  <c r="N332" i="2"/>
  <c r="J332" i="2"/>
  <c r="I332" i="2"/>
  <c r="O332" i="2"/>
  <c r="K332" i="2"/>
  <c r="P332" i="2"/>
  <c r="M332" i="2"/>
  <c r="G332" i="2"/>
  <c r="F332" i="2"/>
  <c r="V332" i="2"/>
  <c r="Q332" i="2"/>
  <c r="R332" i="2"/>
  <c r="L332" i="2"/>
  <c r="T332" i="2"/>
  <c r="S332" i="2"/>
  <c r="H332" i="2"/>
  <c r="E332" i="2"/>
  <c r="D332" i="2"/>
  <c r="G92" i="2"/>
  <c r="V92" i="2"/>
  <c r="F92" i="2"/>
  <c r="E92" i="2"/>
  <c r="T92" i="2"/>
  <c r="D92" i="2"/>
  <c r="S92" i="2"/>
  <c r="R92" i="2"/>
  <c r="Q92" i="2"/>
  <c r="P92" i="2"/>
  <c r="O92" i="2"/>
  <c r="N92" i="2"/>
  <c r="M92" i="2"/>
  <c r="L92" i="2"/>
  <c r="J92" i="2"/>
  <c r="I92" i="2"/>
  <c r="K92" i="2"/>
  <c r="H92" i="2"/>
  <c r="J163" i="2"/>
  <c r="I163" i="2"/>
  <c r="T163" i="2"/>
  <c r="D163" i="2"/>
  <c r="S163" i="2"/>
  <c r="R163" i="2"/>
  <c r="V163" i="2"/>
  <c r="Q163" i="2"/>
  <c r="P163" i="2"/>
  <c r="O163" i="2"/>
  <c r="N163" i="2"/>
  <c r="M163" i="2"/>
  <c r="L163" i="2"/>
  <c r="K163" i="2"/>
  <c r="H163" i="2"/>
  <c r="G163" i="2"/>
  <c r="F163" i="2"/>
  <c r="E163" i="2"/>
  <c r="G343" i="2"/>
  <c r="V343" i="2"/>
  <c r="F343" i="2"/>
  <c r="S343" i="2"/>
  <c r="R343" i="2"/>
  <c r="N343" i="2"/>
  <c r="K343" i="2"/>
  <c r="J343" i="2"/>
  <c r="L343" i="2"/>
  <c r="I343" i="2"/>
  <c r="D343" i="2"/>
  <c r="E343" i="2"/>
  <c r="M343" i="2"/>
  <c r="Q343" i="2"/>
  <c r="P343" i="2"/>
  <c r="O343" i="2"/>
  <c r="T343" i="2"/>
  <c r="H343" i="2"/>
  <c r="L36" i="6"/>
  <c r="L18" i="10"/>
  <c r="M29" i="6"/>
  <c r="N29" i="6" s="1"/>
  <c r="O29" i="6" s="1"/>
  <c r="P29" i="6"/>
  <c r="Q29" i="6" s="1"/>
  <c r="L22" i="4"/>
  <c r="M36" i="7"/>
  <c r="N36" i="7" s="1"/>
  <c r="O36" i="7" s="1"/>
  <c r="P36" i="7"/>
  <c r="Q36" i="7" s="1"/>
  <c r="P24" i="5"/>
  <c r="Q24" i="5" s="1"/>
  <c r="M24" i="5"/>
  <c r="N24" i="5" s="1"/>
  <c r="O24" i="5" s="1"/>
  <c r="M21" i="3"/>
  <c r="N21" i="3" s="1"/>
  <c r="O21" i="3" s="1"/>
  <c r="P21" i="3"/>
  <c r="Q21" i="3" s="1"/>
  <c r="Q27" i="2"/>
  <c r="P27" i="2"/>
  <c r="O27" i="2"/>
  <c r="N27" i="2"/>
  <c r="M27" i="2"/>
  <c r="L27" i="2"/>
  <c r="R27" i="2"/>
  <c r="T27" i="2"/>
  <c r="I313" i="2"/>
  <c r="H313" i="2"/>
  <c r="E313" i="2"/>
  <c r="T313" i="2"/>
  <c r="D313" i="2"/>
  <c r="F313" i="2"/>
  <c r="V313" i="2"/>
  <c r="S313" i="2"/>
  <c r="L313" i="2"/>
  <c r="K313" i="2"/>
  <c r="R313" i="2"/>
  <c r="Q313" i="2"/>
  <c r="P313" i="2"/>
  <c r="J313" i="2"/>
  <c r="O313" i="2"/>
  <c r="G313" i="2"/>
  <c r="N313" i="2"/>
  <c r="M313" i="2"/>
  <c r="L32" i="2"/>
  <c r="T32" i="2"/>
  <c r="R32" i="2"/>
  <c r="P32" i="2"/>
  <c r="Q32" i="2"/>
  <c r="N32" i="2"/>
  <c r="O32" i="2"/>
  <c r="M32" i="2"/>
  <c r="T23" i="2"/>
  <c r="R23" i="2"/>
  <c r="Q23" i="2"/>
  <c r="P23" i="2"/>
  <c r="O23" i="2"/>
  <c r="M23" i="2"/>
  <c r="L23" i="2"/>
  <c r="N23" i="2"/>
  <c r="K227" i="2"/>
  <c r="G227" i="2"/>
  <c r="O227" i="2"/>
  <c r="J227" i="2"/>
  <c r="I227" i="2"/>
  <c r="T227" i="2"/>
  <c r="S227" i="2"/>
  <c r="R227" i="2"/>
  <c r="Q227" i="2"/>
  <c r="N227" i="2"/>
  <c r="M227" i="2"/>
  <c r="L227" i="2"/>
  <c r="H227" i="2"/>
  <c r="D227" i="2"/>
  <c r="V227" i="2"/>
  <c r="P227" i="2"/>
  <c r="F227" i="2"/>
  <c r="E227" i="2"/>
  <c r="T40" i="2"/>
  <c r="R40" i="2"/>
  <c r="Q40" i="2"/>
  <c r="P40" i="2"/>
  <c r="N40" i="2"/>
  <c r="M40" i="2"/>
  <c r="O40" i="2"/>
  <c r="L40" i="2"/>
  <c r="L107" i="2"/>
  <c r="K107" i="2"/>
  <c r="J107" i="2"/>
  <c r="I107" i="2"/>
  <c r="H107" i="2"/>
  <c r="G107" i="2"/>
  <c r="F107" i="2"/>
  <c r="E107" i="2"/>
  <c r="D107" i="2"/>
  <c r="T107" i="2"/>
  <c r="S107" i="2"/>
  <c r="M107" i="2"/>
  <c r="Q107" i="2"/>
  <c r="P107" i="2"/>
  <c r="O107" i="2"/>
  <c r="N107" i="2"/>
  <c r="V107" i="2"/>
  <c r="R107" i="2"/>
  <c r="G154" i="2"/>
  <c r="V154" i="2"/>
  <c r="F154" i="2"/>
  <c r="Q154" i="2"/>
  <c r="P154" i="2"/>
  <c r="O154" i="2"/>
  <c r="T154" i="2"/>
  <c r="S154" i="2"/>
  <c r="E154" i="2"/>
  <c r="D154" i="2"/>
  <c r="M154" i="2"/>
  <c r="L154" i="2"/>
  <c r="N154" i="2"/>
  <c r="K154" i="2"/>
  <c r="J154" i="2"/>
  <c r="I154" i="2"/>
  <c r="H154" i="2"/>
  <c r="R154" i="2"/>
  <c r="L245" i="2"/>
  <c r="J245" i="2"/>
  <c r="F245" i="2"/>
  <c r="G245" i="2"/>
  <c r="P245" i="2"/>
  <c r="O245" i="2"/>
  <c r="N245" i="2"/>
  <c r="Q245" i="2"/>
  <c r="T245" i="2"/>
  <c r="S245" i="2"/>
  <c r="R245" i="2"/>
  <c r="M245" i="2"/>
  <c r="I245" i="2"/>
  <c r="H245" i="2"/>
  <c r="E245" i="2"/>
  <c r="D245" i="2"/>
  <c r="K245" i="2"/>
  <c r="V245" i="2"/>
  <c r="O254" i="2"/>
  <c r="K254" i="2"/>
  <c r="P254" i="2"/>
  <c r="J254" i="2"/>
  <c r="T254" i="2"/>
  <c r="S254" i="2"/>
  <c r="R254" i="2"/>
  <c r="I254" i="2"/>
  <c r="G254" i="2"/>
  <c r="F254" i="2"/>
  <c r="E254" i="2"/>
  <c r="D254" i="2"/>
  <c r="Q254" i="2"/>
  <c r="N254" i="2"/>
  <c r="M254" i="2"/>
  <c r="L254" i="2"/>
  <c r="H254" i="2"/>
  <c r="V254" i="2"/>
  <c r="T99" i="2"/>
  <c r="D99" i="2"/>
  <c r="S99" i="2"/>
  <c r="R99" i="2"/>
  <c r="Q99" i="2"/>
  <c r="P99" i="2"/>
  <c r="M99" i="2"/>
  <c r="L99" i="2"/>
  <c r="K99" i="2"/>
  <c r="J99" i="2"/>
  <c r="I99" i="2"/>
  <c r="V99" i="2"/>
  <c r="F99" i="2"/>
  <c r="E99" i="2"/>
  <c r="O99" i="2"/>
  <c r="N99" i="2"/>
  <c r="H99" i="2"/>
  <c r="G99" i="2"/>
  <c r="T269" i="2"/>
  <c r="D269" i="2"/>
  <c r="Q269" i="2"/>
  <c r="P269" i="2"/>
  <c r="O269" i="2"/>
  <c r="L269" i="2"/>
  <c r="K269" i="2"/>
  <c r="R269" i="2"/>
  <c r="N269" i="2"/>
  <c r="M269" i="2"/>
  <c r="J269" i="2"/>
  <c r="I269" i="2"/>
  <c r="S269" i="2"/>
  <c r="H269" i="2"/>
  <c r="G269" i="2"/>
  <c r="V269" i="2"/>
  <c r="F269" i="2"/>
  <c r="E269" i="2"/>
  <c r="R263" i="2"/>
  <c r="N263" i="2"/>
  <c r="I263" i="2"/>
  <c r="F263" i="2"/>
  <c r="E263" i="2"/>
  <c r="K263" i="2"/>
  <c r="H263" i="2"/>
  <c r="G263" i="2"/>
  <c r="D263" i="2"/>
  <c r="T263" i="2"/>
  <c r="S263" i="2"/>
  <c r="J263" i="2"/>
  <c r="V263" i="2"/>
  <c r="Q263" i="2"/>
  <c r="P263" i="2"/>
  <c r="M263" i="2"/>
  <c r="L263" i="2"/>
  <c r="O263" i="2"/>
  <c r="N220" i="2"/>
  <c r="J220" i="2"/>
  <c r="P220" i="2"/>
  <c r="T220" i="2"/>
  <c r="F220" i="2"/>
  <c r="E220" i="2"/>
  <c r="D220" i="2"/>
  <c r="V220" i="2"/>
  <c r="S220" i="2"/>
  <c r="R220" i="2"/>
  <c r="Q220" i="2"/>
  <c r="L220" i="2"/>
  <c r="O220" i="2"/>
  <c r="M220" i="2"/>
  <c r="K220" i="2"/>
  <c r="I220" i="2"/>
  <c r="H220" i="2"/>
  <c r="G220" i="2"/>
  <c r="M217" i="2"/>
  <c r="H217" i="2"/>
  <c r="I217" i="2"/>
  <c r="G217" i="2"/>
  <c r="D217" i="2"/>
  <c r="V217" i="2"/>
  <c r="S217" i="2"/>
  <c r="R217" i="2"/>
  <c r="Q217" i="2"/>
  <c r="P217" i="2"/>
  <c r="L217" i="2"/>
  <c r="O217" i="2"/>
  <c r="N217" i="2"/>
  <c r="K217" i="2"/>
  <c r="J217" i="2"/>
  <c r="F217" i="2"/>
  <c r="T217" i="2"/>
  <c r="E217" i="2"/>
  <c r="P226" i="2"/>
  <c r="L226" i="2"/>
  <c r="R226" i="2"/>
  <c r="K226" i="2"/>
  <c r="J226" i="2"/>
  <c r="V226" i="2"/>
  <c r="S226" i="2"/>
  <c r="Q226" i="2"/>
  <c r="O226" i="2"/>
  <c r="N226" i="2"/>
  <c r="I226" i="2"/>
  <c r="H226" i="2"/>
  <c r="G226" i="2"/>
  <c r="F226" i="2"/>
  <c r="M226" i="2"/>
  <c r="E226" i="2"/>
  <c r="D226" i="2"/>
  <c r="T226" i="2"/>
  <c r="T301" i="2"/>
  <c r="D301" i="2"/>
  <c r="Q301" i="2"/>
  <c r="P301" i="2"/>
  <c r="M301" i="2"/>
  <c r="J301" i="2"/>
  <c r="I301" i="2"/>
  <c r="H301" i="2"/>
  <c r="S301" i="2"/>
  <c r="R301" i="2"/>
  <c r="G301" i="2"/>
  <c r="E301" i="2"/>
  <c r="O301" i="2"/>
  <c r="V301" i="2"/>
  <c r="N301" i="2"/>
  <c r="K301" i="2"/>
  <c r="F301" i="2"/>
  <c r="L301" i="2"/>
  <c r="L277" i="2"/>
  <c r="I277" i="2"/>
  <c r="H277" i="2"/>
  <c r="E277" i="2"/>
  <c r="T277" i="2"/>
  <c r="Q277" i="2"/>
  <c r="N277" i="2"/>
  <c r="M277" i="2"/>
  <c r="K277" i="2"/>
  <c r="P277" i="2"/>
  <c r="V277" i="2"/>
  <c r="O277" i="2"/>
  <c r="S277" i="2"/>
  <c r="R277" i="2"/>
  <c r="J277" i="2"/>
  <c r="G277" i="2"/>
  <c r="F277" i="2"/>
  <c r="D277" i="2"/>
  <c r="I333" i="2"/>
  <c r="E333" i="2"/>
  <c r="T333" i="2"/>
  <c r="D333" i="2"/>
  <c r="M333" i="2"/>
  <c r="J333" i="2"/>
  <c r="P333" i="2"/>
  <c r="O333" i="2"/>
  <c r="K333" i="2"/>
  <c r="H333" i="2"/>
  <c r="L333" i="2"/>
  <c r="G333" i="2"/>
  <c r="F333" i="2"/>
  <c r="V333" i="2"/>
  <c r="S333" i="2"/>
  <c r="R333" i="2"/>
  <c r="Q333" i="2"/>
  <c r="N333" i="2"/>
  <c r="P338" i="2"/>
  <c r="O338" i="2"/>
  <c r="L338" i="2"/>
  <c r="K338" i="2"/>
  <c r="M338" i="2"/>
  <c r="H338" i="2"/>
  <c r="G338" i="2"/>
  <c r="J338" i="2"/>
  <c r="I338" i="2"/>
  <c r="D338" i="2"/>
  <c r="E338" i="2"/>
  <c r="T338" i="2"/>
  <c r="V338" i="2"/>
  <c r="S338" i="2"/>
  <c r="R338" i="2"/>
  <c r="Q338" i="2"/>
  <c r="N338" i="2"/>
  <c r="F338" i="2"/>
  <c r="E374" i="2"/>
  <c r="T374" i="2"/>
  <c r="D374" i="2"/>
  <c r="K374" i="2"/>
  <c r="V374" i="2"/>
  <c r="P374" i="2"/>
  <c r="N374" i="2"/>
  <c r="M374" i="2"/>
  <c r="I374" i="2"/>
  <c r="H374" i="2"/>
  <c r="R374" i="2"/>
  <c r="L374" i="2"/>
  <c r="J374" i="2"/>
  <c r="F374" i="2"/>
  <c r="Q374" i="2"/>
  <c r="S374" i="2"/>
  <c r="O374" i="2"/>
  <c r="G374" i="2"/>
  <c r="S353" i="2"/>
  <c r="O353" i="2"/>
  <c r="K353" i="2"/>
  <c r="J353" i="2"/>
  <c r="G353" i="2"/>
  <c r="F353" i="2"/>
  <c r="T353" i="2"/>
  <c r="Q353" i="2"/>
  <c r="P353" i="2"/>
  <c r="L353" i="2"/>
  <c r="I353" i="2"/>
  <c r="M353" i="2"/>
  <c r="D353" i="2"/>
  <c r="H353" i="2"/>
  <c r="E353" i="2"/>
  <c r="N353" i="2"/>
  <c r="V353" i="2"/>
  <c r="R353" i="2"/>
  <c r="N97" i="2"/>
  <c r="M97" i="2"/>
  <c r="L97" i="2"/>
  <c r="K97" i="2"/>
  <c r="J97" i="2"/>
  <c r="H97" i="2"/>
  <c r="G97" i="2"/>
  <c r="F97" i="2"/>
  <c r="E97" i="2"/>
  <c r="D97" i="2"/>
  <c r="Q97" i="2"/>
  <c r="P97" i="2"/>
  <c r="O97" i="2"/>
  <c r="V97" i="2"/>
  <c r="T97" i="2"/>
  <c r="S97" i="2"/>
  <c r="R97" i="2"/>
  <c r="I97" i="2"/>
  <c r="P35" i="9"/>
  <c r="Q35" i="9" s="1"/>
  <c r="M35" i="9"/>
  <c r="N35" i="9" s="1"/>
  <c r="O35" i="9" s="1"/>
  <c r="P23" i="6"/>
  <c r="Q23" i="6" s="1"/>
  <c r="M23" i="6"/>
  <c r="N23" i="6" s="1"/>
  <c r="O23" i="6" s="1"/>
  <c r="P21" i="10"/>
  <c r="Q21" i="10" s="1"/>
  <c r="M21" i="10"/>
  <c r="N21" i="10" s="1"/>
  <c r="O21" i="10" s="1"/>
  <c r="R93" i="2"/>
  <c r="Q93" i="2"/>
  <c r="P93" i="2"/>
  <c r="O93" i="2"/>
  <c r="N93" i="2"/>
  <c r="V93" i="2"/>
  <c r="T93" i="2"/>
  <c r="J93" i="2"/>
  <c r="I93" i="2"/>
  <c r="L93" i="2"/>
  <c r="K93" i="2"/>
  <c r="H93" i="2"/>
  <c r="G93" i="2"/>
  <c r="F93" i="2"/>
  <c r="E93" i="2"/>
  <c r="D93" i="2"/>
  <c r="S93" i="2"/>
  <c r="M93" i="2"/>
  <c r="M29" i="4"/>
  <c r="N29" i="4" s="1"/>
  <c r="O29" i="4" s="1"/>
  <c r="P29" i="4"/>
  <c r="Q29" i="4" s="1"/>
  <c r="M23" i="8"/>
  <c r="N23" i="8" s="1"/>
  <c r="O23" i="8" s="1"/>
  <c r="P23" i="8"/>
  <c r="Q23" i="8" s="1"/>
  <c r="J201" i="2"/>
  <c r="I201" i="2"/>
  <c r="P201" i="2"/>
  <c r="O201" i="2"/>
  <c r="N201" i="2"/>
  <c r="H201" i="2"/>
  <c r="G201" i="2"/>
  <c r="F201" i="2"/>
  <c r="T201" i="2"/>
  <c r="S201" i="2"/>
  <c r="R201" i="2"/>
  <c r="Q201" i="2"/>
  <c r="M201" i="2"/>
  <c r="L201" i="2"/>
  <c r="K201" i="2"/>
  <c r="D201" i="2"/>
  <c r="V201" i="2"/>
  <c r="E201" i="2"/>
  <c r="M94" i="2"/>
  <c r="L94" i="2"/>
  <c r="K94" i="2"/>
  <c r="J94" i="2"/>
  <c r="I94" i="2"/>
  <c r="V94" i="2"/>
  <c r="T94" i="2"/>
  <c r="S94" i="2"/>
  <c r="H94" i="2"/>
  <c r="G94" i="2"/>
  <c r="F94" i="2"/>
  <c r="Q94" i="2"/>
  <c r="P94" i="2"/>
  <c r="N94" i="2"/>
  <c r="D94" i="2"/>
  <c r="E94" i="2"/>
  <c r="O94" i="2"/>
  <c r="R94" i="2"/>
  <c r="M210" i="2"/>
  <c r="L210" i="2"/>
  <c r="I210" i="2"/>
  <c r="H210" i="2"/>
  <c r="G210" i="2"/>
  <c r="V210" i="2"/>
  <c r="T210" i="2"/>
  <c r="S210" i="2"/>
  <c r="P210" i="2"/>
  <c r="J210" i="2"/>
  <c r="F210" i="2"/>
  <c r="E210" i="2"/>
  <c r="D210" i="2"/>
  <c r="R210" i="2"/>
  <c r="Q210" i="2"/>
  <c r="O210" i="2"/>
  <c r="N210" i="2"/>
  <c r="K210" i="2"/>
  <c r="G231" i="2"/>
  <c r="S231" i="2"/>
  <c r="V231" i="2"/>
  <c r="D231" i="2"/>
  <c r="E231" i="2"/>
  <c r="N231" i="2"/>
  <c r="J231" i="2"/>
  <c r="I231" i="2"/>
  <c r="H231" i="2"/>
  <c r="F231" i="2"/>
  <c r="T231" i="2"/>
  <c r="P231" i="2"/>
  <c r="O231" i="2"/>
  <c r="M231" i="2"/>
  <c r="L231" i="2"/>
  <c r="K231" i="2"/>
  <c r="R231" i="2"/>
  <c r="Q231" i="2"/>
  <c r="O49" i="2"/>
  <c r="N49" i="2"/>
  <c r="M49" i="2"/>
  <c r="L49" i="2"/>
  <c r="K49" i="2"/>
  <c r="H49" i="2"/>
  <c r="G49" i="2"/>
  <c r="V49" i="2"/>
  <c r="T49" i="2"/>
  <c r="S49" i="2"/>
  <c r="R49" i="2"/>
  <c r="Q49" i="2"/>
  <c r="P49" i="2"/>
  <c r="I49" i="2"/>
  <c r="E49" i="2"/>
  <c r="D49" i="2"/>
  <c r="J49" i="2"/>
  <c r="F49" i="2"/>
  <c r="P16" i="7"/>
  <c r="M16" i="7"/>
  <c r="N16" i="7" s="1"/>
  <c r="O16" i="7" s="1"/>
  <c r="J133" i="2"/>
  <c r="I133" i="2"/>
  <c r="H133" i="2"/>
  <c r="G133" i="2"/>
  <c r="V133" i="2"/>
  <c r="F133" i="2"/>
  <c r="T133" i="2"/>
  <c r="S133" i="2"/>
  <c r="R133" i="2"/>
  <c r="Q133" i="2"/>
  <c r="P133" i="2"/>
  <c r="O133" i="2"/>
  <c r="N133" i="2"/>
  <c r="L133" i="2"/>
  <c r="K133" i="2"/>
  <c r="E133" i="2"/>
  <c r="D133" i="2"/>
  <c r="M133" i="2"/>
  <c r="P30" i="10"/>
  <c r="Q30" i="10" s="1"/>
  <c r="M30" i="10"/>
  <c r="N30" i="10" s="1"/>
  <c r="O30" i="10" s="1"/>
  <c r="M37" i="4"/>
  <c r="N37" i="4" s="1"/>
  <c r="O37" i="4" s="1"/>
  <c r="P37" i="4"/>
  <c r="Q37" i="4" s="1"/>
  <c r="P31" i="8"/>
  <c r="Q31" i="8" s="1"/>
  <c r="M31" i="8"/>
  <c r="N31" i="8" s="1"/>
  <c r="O31" i="8" s="1"/>
  <c r="T253" i="2"/>
  <c r="D253" i="2"/>
  <c r="P253" i="2"/>
  <c r="R253" i="2"/>
  <c r="M253" i="2"/>
  <c r="S253" i="2"/>
  <c r="Q253" i="2"/>
  <c r="O253" i="2"/>
  <c r="V253" i="2"/>
  <c r="N253" i="2"/>
  <c r="L253" i="2"/>
  <c r="F253" i="2"/>
  <c r="K253" i="2"/>
  <c r="J253" i="2"/>
  <c r="I253" i="2"/>
  <c r="E253" i="2"/>
  <c r="H253" i="2"/>
  <c r="G253" i="2"/>
  <c r="J224" i="2"/>
  <c r="V224" i="2"/>
  <c r="F224" i="2"/>
  <c r="D224" i="2"/>
  <c r="O224" i="2"/>
  <c r="N224" i="2"/>
  <c r="E224" i="2"/>
  <c r="L224" i="2"/>
  <c r="K224" i="2"/>
  <c r="I224" i="2"/>
  <c r="H224" i="2"/>
  <c r="S224" i="2"/>
  <c r="R224" i="2"/>
  <c r="Q224" i="2"/>
  <c r="P224" i="2"/>
  <c r="M224" i="2"/>
  <c r="G224" i="2"/>
  <c r="T224" i="2"/>
  <c r="M31" i="2"/>
  <c r="L31" i="2"/>
  <c r="P31" i="2"/>
  <c r="T31" i="2"/>
  <c r="N31" i="2"/>
  <c r="R31" i="2"/>
  <c r="O31" i="2"/>
  <c r="Q31" i="2"/>
  <c r="P28" i="3"/>
  <c r="Q28" i="3" s="1"/>
  <c r="M28" i="3"/>
  <c r="N28" i="3" s="1"/>
  <c r="O28" i="3" s="1"/>
  <c r="R17" i="2"/>
  <c r="Q17" i="2"/>
  <c r="P17" i="2"/>
  <c r="O17" i="2"/>
  <c r="N17" i="2"/>
  <c r="M17" i="2"/>
  <c r="T17" i="2"/>
  <c r="L17" i="2"/>
  <c r="E118" i="2"/>
  <c r="T118" i="2"/>
  <c r="D118" i="2"/>
  <c r="S118" i="2"/>
  <c r="R118" i="2"/>
  <c r="Q118" i="2"/>
  <c r="K118" i="2"/>
  <c r="J118" i="2"/>
  <c r="I118" i="2"/>
  <c r="H118" i="2"/>
  <c r="G118" i="2"/>
  <c r="N118" i="2"/>
  <c r="M118" i="2"/>
  <c r="L118" i="2"/>
  <c r="V118" i="2"/>
  <c r="P118" i="2"/>
  <c r="O118" i="2"/>
  <c r="F118" i="2"/>
  <c r="R308" i="2"/>
  <c r="Q308" i="2"/>
  <c r="N308" i="2"/>
  <c r="M308" i="2"/>
  <c r="E308" i="2"/>
  <c r="V308" i="2"/>
  <c r="T308" i="2"/>
  <c r="D308" i="2"/>
  <c r="S308" i="2"/>
  <c r="P308" i="2"/>
  <c r="O308" i="2"/>
  <c r="H308" i="2"/>
  <c r="G308" i="2"/>
  <c r="F308" i="2"/>
  <c r="L308" i="2"/>
  <c r="K308" i="2"/>
  <c r="J308" i="2"/>
  <c r="I308" i="2"/>
  <c r="M27" i="5"/>
  <c r="N27" i="5" s="1"/>
  <c r="O27" i="5" s="1"/>
  <c r="P27" i="5"/>
  <c r="Q27" i="5" s="1"/>
  <c r="P19" i="9"/>
  <c r="Q19" i="9" s="1"/>
  <c r="M19" i="9"/>
  <c r="N19" i="9" s="1"/>
  <c r="O19" i="9" s="1"/>
  <c r="L16" i="10"/>
  <c r="L14" i="6"/>
  <c r="P15" i="4"/>
  <c r="M15" i="4"/>
  <c r="N15" i="4" s="1"/>
  <c r="O15" i="4" s="1"/>
  <c r="P36" i="4"/>
  <c r="Q36" i="4" s="1"/>
  <c r="M36" i="4"/>
  <c r="N36" i="4" s="1"/>
  <c r="O36" i="4" s="1"/>
  <c r="M28" i="7"/>
  <c r="N28" i="7" s="1"/>
  <c r="O28" i="7" s="1"/>
  <c r="P28" i="7"/>
  <c r="Q28" i="7" s="1"/>
  <c r="M18" i="8"/>
  <c r="N18" i="8" s="1"/>
  <c r="O18" i="8" s="1"/>
  <c r="P18" i="8"/>
  <c r="Q18" i="8" s="1"/>
  <c r="P30" i="5"/>
  <c r="Q30" i="5" s="1"/>
  <c r="M30" i="5"/>
  <c r="N30" i="5" s="1"/>
  <c r="O30" i="5" s="1"/>
  <c r="L32" i="3"/>
  <c r="T362" i="2"/>
  <c r="D362" i="2"/>
  <c r="N362" i="2"/>
  <c r="J362" i="2"/>
  <c r="M362" i="2"/>
  <c r="L362" i="2"/>
  <c r="H362" i="2"/>
  <c r="G362" i="2"/>
  <c r="Q362" i="2"/>
  <c r="K362" i="2"/>
  <c r="I362" i="2"/>
  <c r="S362" i="2"/>
  <c r="R362" i="2"/>
  <c r="F362" i="2"/>
  <c r="E362" i="2"/>
  <c r="V362" i="2"/>
  <c r="P362" i="2"/>
  <c r="O362" i="2"/>
  <c r="H44" i="2"/>
  <c r="G44" i="2"/>
  <c r="V44" i="2"/>
  <c r="F44" i="2"/>
  <c r="E44" i="2"/>
  <c r="T44" i="2"/>
  <c r="D44" i="2"/>
  <c r="S44" i="2"/>
  <c r="R44" i="2"/>
  <c r="L44" i="2"/>
  <c r="N44" i="2"/>
  <c r="M44" i="2"/>
  <c r="K44" i="2"/>
  <c r="J44" i="2"/>
  <c r="I44" i="2"/>
  <c r="Q44" i="2"/>
  <c r="O44" i="2"/>
  <c r="P44" i="2"/>
  <c r="T33" i="2"/>
  <c r="R33" i="2"/>
  <c r="Q33" i="2"/>
  <c r="O33" i="2"/>
  <c r="P33" i="2"/>
  <c r="N33" i="2"/>
  <c r="M33" i="2"/>
  <c r="L33" i="2"/>
  <c r="V340" i="2"/>
  <c r="F340" i="2"/>
  <c r="E340" i="2"/>
  <c r="R340" i="2"/>
  <c r="Q340" i="2"/>
  <c r="M340" i="2"/>
  <c r="J340" i="2"/>
  <c r="I340" i="2"/>
  <c r="T340" i="2"/>
  <c r="O340" i="2"/>
  <c r="N340" i="2"/>
  <c r="K340" i="2"/>
  <c r="H340" i="2"/>
  <c r="G340" i="2"/>
  <c r="P340" i="2"/>
  <c r="S340" i="2"/>
  <c r="L340" i="2"/>
  <c r="D340" i="2"/>
  <c r="N143" i="2"/>
  <c r="M143" i="2"/>
  <c r="H143" i="2"/>
  <c r="G143" i="2"/>
  <c r="V143" i="2"/>
  <c r="F143" i="2"/>
  <c r="T143" i="2"/>
  <c r="S143" i="2"/>
  <c r="R143" i="2"/>
  <c r="Q143" i="2"/>
  <c r="D143" i="2"/>
  <c r="P143" i="2"/>
  <c r="O143" i="2"/>
  <c r="L143" i="2"/>
  <c r="K143" i="2"/>
  <c r="J143" i="2"/>
  <c r="I143" i="2"/>
  <c r="E143" i="2"/>
  <c r="Q168" i="2"/>
  <c r="P168" i="2"/>
  <c r="K168" i="2"/>
  <c r="J168" i="2"/>
  <c r="I168" i="2"/>
  <c r="H168" i="2"/>
  <c r="G168" i="2"/>
  <c r="F168" i="2"/>
  <c r="E168" i="2"/>
  <c r="D168" i="2"/>
  <c r="O168" i="2"/>
  <c r="N168" i="2"/>
  <c r="M168" i="2"/>
  <c r="L168" i="2"/>
  <c r="T168" i="2"/>
  <c r="S168" i="2"/>
  <c r="V168" i="2"/>
  <c r="R168" i="2"/>
  <c r="V228" i="2"/>
  <c r="F228" i="2"/>
  <c r="R228" i="2"/>
  <c r="L228" i="2"/>
  <c r="I228" i="2"/>
  <c r="H228" i="2"/>
  <c r="S228" i="2"/>
  <c r="T228" i="2"/>
  <c r="P228" i="2"/>
  <c r="O228" i="2"/>
  <c r="N228" i="2"/>
  <c r="M228" i="2"/>
  <c r="G228" i="2"/>
  <c r="Q228" i="2"/>
  <c r="K228" i="2"/>
  <c r="J228" i="2"/>
  <c r="E228" i="2"/>
  <c r="D228" i="2"/>
  <c r="T285" i="2"/>
  <c r="D285" i="2"/>
  <c r="Q285" i="2"/>
  <c r="P285" i="2"/>
  <c r="N285" i="2"/>
  <c r="K285" i="2"/>
  <c r="J285" i="2"/>
  <c r="E285" i="2"/>
  <c r="L285" i="2"/>
  <c r="I285" i="2"/>
  <c r="H285" i="2"/>
  <c r="S285" i="2"/>
  <c r="O285" i="2"/>
  <c r="M285" i="2"/>
  <c r="G285" i="2"/>
  <c r="F285" i="2"/>
  <c r="R285" i="2"/>
  <c r="V285" i="2"/>
  <c r="V89" i="2"/>
  <c r="F89" i="2"/>
  <c r="E89" i="2"/>
  <c r="T89" i="2"/>
  <c r="D89" i="2"/>
  <c r="S89" i="2"/>
  <c r="R89" i="2"/>
  <c r="N89" i="2"/>
  <c r="M89" i="2"/>
  <c r="L89" i="2"/>
  <c r="K89" i="2"/>
  <c r="J89" i="2"/>
  <c r="O89" i="2"/>
  <c r="I89" i="2"/>
  <c r="H89" i="2"/>
  <c r="Q89" i="2"/>
  <c r="G89" i="2"/>
  <c r="P89" i="2"/>
  <c r="T115" i="2"/>
  <c r="D115" i="2"/>
  <c r="S115" i="2"/>
  <c r="R115" i="2"/>
  <c r="Q115" i="2"/>
  <c r="P115" i="2"/>
  <c r="F115" i="2"/>
  <c r="E115" i="2"/>
  <c r="V115" i="2"/>
  <c r="J115" i="2"/>
  <c r="I115" i="2"/>
  <c r="H115" i="2"/>
  <c r="O115" i="2"/>
  <c r="N115" i="2"/>
  <c r="L115" i="2"/>
  <c r="G115" i="2"/>
  <c r="M115" i="2"/>
  <c r="K115" i="2"/>
  <c r="J271" i="2"/>
  <c r="G271" i="2"/>
  <c r="V271" i="2"/>
  <c r="F271" i="2"/>
  <c r="N271" i="2"/>
  <c r="K271" i="2"/>
  <c r="I271" i="2"/>
  <c r="E271" i="2"/>
  <c r="S271" i="2"/>
  <c r="R271" i="2"/>
  <c r="Q271" i="2"/>
  <c r="D271" i="2"/>
  <c r="T271" i="2"/>
  <c r="P271" i="2"/>
  <c r="O271" i="2"/>
  <c r="M271" i="2"/>
  <c r="H271" i="2"/>
  <c r="L271" i="2"/>
  <c r="I317" i="2"/>
  <c r="E317" i="2"/>
  <c r="T317" i="2"/>
  <c r="K317" i="2"/>
  <c r="P317" i="2"/>
  <c r="O317" i="2"/>
  <c r="L317" i="2"/>
  <c r="J317" i="2"/>
  <c r="S317" i="2"/>
  <c r="N317" i="2"/>
  <c r="M317" i="2"/>
  <c r="H317" i="2"/>
  <c r="G317" i="2"/>
  <c r="V317" i="2"/>
  <c r="R317" i="2"/>
  <c r="Q317" i="2"/>
  <c r="F317" i="2"/>
  <c r="D317" i="2"/>
  <c r="I221" i="2"/>
  <c r="E221" i="2"/>
  <c r="M221" i="2"/>
  <c r="S221" i="2"/>
  <c r="R221" i="2"/>
  <c r="G221" i="2"/>
  <c r="F221" i="2"/>
  <c r="D221" i="2"/>
  <c r="V221" i="2"/>
  <c r="T221" i="2"/>
  <c r="Q221" i="2"/>
  <c r="N221" i="2"/>
  <c r="K221" i="2"/>
  <c r="J221" i="2"/>
  <c r="H221" i="2"/>
  <c r="L221" i="2"/>
  <c r="P221" i="2"/>
  <c r="O221" i="2"/>
  <c r="L230" i="2"/>
  <c r="H230" i="2"/>
  <c r="F230" i="2"/>
  <c r="E230" i="2"/>
  <c r="D230" i="2"/>
  <c r="P230" i="2"/>
  <c r="G230" i="2"/>
  <c r="T230" i="2"/>
  <c r="S230" i="2"/>
  <c r="R230" i="2"/>
  <c r="N230" i="2"/>
  <c r="V230" i="2"/>
  <c r="M230" i="2"/>
  <c r="K230" i="2"/>
  <c r="J230" i="2"/>
  <c r="O230" i="2"/>
  <c r="Q230" i="2"/>
  <c r="I230" i="2"/>
  <c r="E240" i="2"/>
  <c r="M240" i="2"/>
  <c r="I240" i="2"/>
  <c r="S240" i="2"/>
  <c r="N240" i="2"/>
  <c r="L240" i="2"/>
  <c r="K240" i="2"/>
  <c r="T240" i="2"/>
  <c r="R240" i="2"/>
  <c r="Q240" i="2"/>
  <c r="P240" i="2"/>
  <c r="H240" i="2"/>
  <c r="F240" i="2"/>
  <c r="D240" i="2"/>
  <c r="V240" i="2"/>
  <c r="O240" i="2"/>
  <c r="J240" i="2"/>
  <c r="G240" i="2"/>
  <c r="E304" i="2"/>
  <c r="R304" i="2"/>
  <c r="Q304" i="2"/>
  <c r="J304" i="2"/>
  <c r="G304" i="2"/>
  <c r="F304" i="2"/>
  <c r="D304" i="2"/>
  <c r="I304" i="2"/>
  <c r="H304" i="2"/>
  <c r="K304" i="2"/>
  <c r="N304" i="2"/>
  <c r="M304" i="2"/>
  <c r="L304" i="2"/>
  <c r="P304" i="2"/>
  <c r="O304" i="2"/>
  <c r="V304" i="2"/>
  <c r="T304" i="2"/>
  <c r="S304" i="2"/>
  <c r="R344" i="2"/>
  <c r="Q344" i="2"/>
  <c r="N344" i="2"/>
  <c r="M344" i="2"/>
  <c r="O344" i="2"/>
  <c r="J344" i="2"/>
  <c r="I344" i="2"/>
  <c r="S344" i="2"/>
  <c r="P344" i="2"/>
  <c r="H344" i="2"/>
  <c r="G344" i="2"/>
  <c r="V344" i="2"/>
  <c r="L344" i="2"/>
  <c r="K344" i="2"/>
  <c r="F344" i="2"/>
  <c r="U344" i="2"/>
  <c r="W344" i="2" s="1"/>
  <c r="D344" i="2"/>
  <c r="T344" i="2"/>
  <c r="E344" i="2"/>
  <c r="O363" i="2"/>
  <c r="J363" i="2"/>
  <c r="F363" i="2"/>
  <c r="L363" i="2"/>
  <c r="K363" i="2"/>
  <c r="G363" i="2"/>
  <c r="E363" i="2"/>
  <c r="T363" i="2"/>
  <c r="Q363" i="2"/>
  <c r="P363" i="2"/>
  <c r="S363" i="2"/>
  <c r="I363" i="2"/>
  <c r="V363" i="2"/>
  <c r="R363" i="2"/>
  <c r="N363" i="2"/>
  <c r="M363" i="2"/>
  <c r="H363" i="2"/>
  <c r="D363" i="2"/>
  <c r="N348" i="2"/>
  <c r="M348" i="2"/>
  <c r="J348" i="2"/>
  <c r="I348" i="2"/>
  <c r="Q348" i="2"/>
  <c r="L348" i="2"/>
  <c r="K348" i="2"/>
  <c r="H348" i="2"/>
  <c r="G348" i="2"/>
  <c r="D348" i="2"/>
  <c r="E348" i="2"/>
  <c r="R348" i="2"/>
  <c r="P348" i="2"/>
  <c r="V348" i="2"/>
  <c r="T348" i="2"/>
  <c r="S348" i="2"/>
  <c r="F348" i="2"/>
  <c r="O348" i="2"/>
  <c r="S311" i="2"/>
  <c r="R311" i="2"/>
  <c r="O311" i="2"/>
  <c r="N311" i="2"/>
  <c r="F311" i="2"/>
  <c r="V311" i="2"/>
  <c r="L311" i="2"/>
  <c r="T311" i="2"/>
  <c r="I311" i="2"/>
  <c r="Q311" i="2"/>
  <c r="P311" i="2"/>
  <c r="K311" i="2"/>
  <c r="J311" i="2"/>
  <c r="H311" i="2"/>
  <c r="G311" i="2"/>
  <c r="D311" i="2"/>
  <c r="E311" i="2"/>
  <c r="M311" i="2"/>
  <c r="J373" i="2"/>
  <c r="I373" i="2"/>
  <c r="N373" i="2"/>
  <c r="V373" i="2"/>
  <c r="R373" i="2"/>
  <c r="M373" i="2"/>
  <c r="L373" i="2"/>
  <c r="G373" i="2"/>
  <c r="F373" i="2"/>
  <c r="H373" i="2"/>
  <c r="T373" i="2"/>
  <c r="S373" i="2"/>
  <c r="Q373" i="2"/>
  <c r="D373" i="2"/>
  <c r="P373" i="2"/>
  <c r="O373" i="2"/>
  <c r="K373" i="2"/>
  <c r="E373" i="2"/>
  <c r="M14" i="3"/>
  <c r="N14" i="3" s="1"/>
  <c r="O14" i="3" s="1"/>
  <c r="P14" i="3"/>
  <c r="M25" i="2"/>
  <c r="T25" i="2"/>
  <c r="R25" i="2"/>
  <c r="L25" i="2"/>
  <c r="Q25" i="2"/>
  <c r="P25" i="2"/>
  <c r="O25" i="2"/>
  <c r="N25" i="2"/>
  <c r="Q184" i="2"/>
  <c r="P184" i="2"/>
  <c r="K184" i="2"/>
  <c r="J184" i="2"/>
  <c r="I184" i="2"/>
  <c r="V184" i="2"/>
  <c r="T184" i="2"/>
  <c r="S184" i="2"/>
  <c r="R184" i="2"/>
  <c r="N184" i="2"/>
  <c r="M184" i="2"/>
  <c r="L184" i="2"/>
  <c r="H184" i="2"/>
  <c r="G184" i="2"/>
  <c r="D184" i="2"/>
  <c r="F184" i="2"/>
  <c r="E184" i="2"/>
  <c r="O184" i="2"/>
  <c r="G186" i="2"/>
  <c r="V186" i="2"/>
  <c r="F186" i="2"/>
  <c r="Q186" i="2"/>
  <c r="P186" i="2"/>
  <c r="O186" i="2"/>
  <c r="D186" i="2"/>
  <c r="J186" i="2"/>
  <c r="I186" i="2"/>
  <c r="H186" i="2"/>
  <c r="E186" i="2"/>
  <c r="M186" i="2"/>
  <c r="L186" i="2"/>
  <c r="K186" i="2"/>
  <c r="S186" i="2"/>
  <c r="R186" i="2"/>
  <c r="N186" i="2"/>
  <c r="T186" i="2"/>
  <c r="G246" i="2"/>
  <c r="F246" i="2"/>
  <c r="S246" i="2"/>
  <c r="E246" i="2"/>
  <c r="O246" i="2"/>
  <c r="N246" i="2"/>
  <c r="M246" i="2"/>
  <c r="H246" i="2"/>
  <c r="D246" i="2"/>
  <c r="T246" i="2"/>
  <c r="V246" i="2"/>
  <c r="R246" i="2"/>
  <c r="Q246" i="2"/>
  <c r="K246" i="2"/>
  <c r="P246" i="2"/>
  <c r="L246" i="2"/>
  <c r="J246" i="2"/>
  <c r="I246" i="2"/>
  <c r="M24" i="4"/>
  <c r="N24" i="4" s="1"/>
  <c r="O24" i="4" s="1"/>
  <c r="P24" i="4"/>
  <c r="Q24" i="4" s="1"/>
  <c r="V70" i="2"/>
  <c r="F70" i="2"/>
  <c r="E70" i="2"/>
  <c r="T70" i="2"/>
  <c r="D70" i="2"/>
  <c r="S70" i="2"/>
  <c r="R70" i="2"/>
  <c r="K70" i="2"/>
  <c r="J70" i="2"/>
  <c r="M70" i="2"/>
  <c r="L70" i="2"/>
  <c r="I70" i="2"/>
  <c r="H70" i="2"/>
  <c r="G70" i="2"/>
  <c r="P70" i="2"/>
  <c r="Q70" i="2"/>
  <c r="O70" i="2"/>
  <c r="N70" i="2"/>
  <c r="E288" i="2"/>
  <c r="R288" i="2"/>
  <c r="Q288" i="2"/>
  <c r="K288" i="2"/>
  <c r="H288" i="2"/>
  <c r="G288" i="2"/>
  <c r="N288" i="2"/>
  <c r="D288" i="2"/>
  <c r="I288" i="2"/>
  <c r="F288" i="2"/>
  <c r="V288" i="2"/>
  <c r="T288" i="2"/>
  <c r="S288" i="2"/>
  <c r="M288" i="2"/>
  <c r="L288" i="2"/>
  <c r="J288" i="2"/>
  <c r="P288" i="2"/>
  <c r="O288" i="2"/>
  <c r="P31" i="7"/>
  <c r="Q31" i="7" s="1"/>
  <c r="M31" i="7"/>
  <c r="N31" i="7" s="1"/>
  <c r="O31" i="7" s="1"/>
  <c r="P22" i="7"/>
  <c r="Q22" i="7" s="1"/>
  <c r="M22" i="7"/>
  <c r="N22" i="7" s="1"/>
  <c r="O22" i="7" s="1"/>
  <c r="M29" i="8"/>
  <c r="N29" i="8" s="1"/>
  <c r="O29" i="8" s="1"/>
  <c r="P22" i="3"/>
  <c r="Q22" i="3" s="1"/>
  <c r="M22" i="3"/>
  <c r="N22" i="3" s="1"/>
  <c r="O22" i="3" s="1"/>
  <c r="V151" i="2"/>
  <c r="F151" i="2"/>
  <c r="E151" i="2"/>
  <c r="P151" i="2"/>
  <c r="O151" i="2"/>
  <c r="N151" i="2"/>
  <c r="R151" i="2"/>
  <c r="Q151" i="2"/>
  <c r="M151" i="2"/>
  <c r="L151" i="2"/>
  <c r="K151" i="2"/>
  <c r="H151" i="2"/>
  <c r="G151" i="2"/>
  <c r="D151" i="2"/>
  <c r="I151" i="2"/>
  <c r="T151" i="2"/>
  <c r="J151" i="2"/>
  <c r="S151" i="2"/>
  <c r="E51" i="2"/>
  <c r="T51" i="2"/>
  <c r="D51" i="2"/>
  <c r="S51" i="2"/>
  <c r="R51" i="2"/>
  <c r="Q51" i="2"/>
  <c r="M51" i="2"/>
  <c r="L51" i="2"/>
  <c r="F51" i="2"/>
  <c r="J51" i="2"/>
  <c r="I51" i="2"/>
  <c r="H51" i="2"/>
  <c r="G51" i="2"/>
  <c r="O51" i="2"/>
  <c r="P51" i="2"/>
  <c r="N51" i="2"/>
  <c r="K51" i="2"/>
  <c r="V51" i="2"/>
  <c r="S112" i="2"/>
  <c r="R112" i="2"/>
  <c r="Q112" i="2"/>
  <c r="P112" i="2"/>
  <c r="O112" i="2"/>
  <c r="V112" i="2"/>
  <c r="T112" i="2"/>
  <c r="N112" i="2"/>
  <c r="M112" i="2"/>
  <c r="L112" i="2"/>
  <c r="F112" i="2"/>
  <c r="E112" i="2"/>
  <c r="D112" i="2"/>
  <c r="I112" i="2"/>
  <c r="H112" i="2"/>
  <c r="G112" i="2"/>
  <c r="K112" i="2"/>
  <c r="J112" i="2"/>
  <c r="M32" i="6"/>
  <c r="N32" i="6" s="1"/>
  <c r="O32" i="6" s="1"/>
  <c r="P32" i="6"/>
  <c r="Q32" i="6" s="1"/>
  <c r="P19" i="3"/>
  <c r="Q19" i="3" s="1"/>
  <c r="M19" i="3"/>
  <c r="N19" i="3" s="1"/>
  <c r="O19" i="3" s="1"/>
  <c r="J66" i="2"/>
  <c r="I66" i="2"/>
  <c r="H66" i="2"/>
  <c r="G66" i="2"/>
  <c r="V66" i="2"/>
  <c r="F66" i="2"/>
  <c r="O66" i="2"/>
  <c r="L66" i="2"/>
  <c r="K66" i="2"/>
  <c r="E66" i="2"/>
  <c r="D66" i="2"/>
  <c r="T66" i="2"/>
  <c r="R66" i="2"/>
  <c r="P66" i="2"/>
  <c r="S66" i="2"/>
  <c r="Q66" i="2"/>
  <c r="N66" i="2"/>
  <c r="M66" i="2"/>
  <c r="S128" i="2"/>
  <c r="R128" i="2"/>
  <c r="Q128" i="2"/>
  <c r="P128" i="2"/>
  <c r="O128" i="2"/>
  <c r="J128" i="2"/>
  <c r="I128" i="2"/>
  <c r="H128" i="2"/>
  <c r="G128" i="2"/>
  <c r="F128" i="2"/>
  <c r="V128" i="2"/>
  <c r="E128" i="2"/>
  <c r="D128" i="2"/>
  <c r="T128" i="2"/>
  <c r="N128" i="2"/>
  <c r="M128" i="2"/>
  <c r="L128" i="2"/>
  <c r="K128" i="2"/>
  <c r="G262" i="2"/>
  <c r="S262" i="2"/>
  <c r="L262" i="2"/>
  <c r="I262" i="2"/>
  <c r="H262" i="2"/>
  <c r="J262" i="2"/>
  <c r="V262" i="2"/>
  <c r="N262" i="2"/>
  <c r="M262" i="2"/>
  <c r="K262" i="2"/>
  <c r="D262" i="2"/>
  <c r="Q262" i="2"/>
  <c r="T262" i="2"/>
  <c r="R262" i="2"/>
  <c r="P262" i="2"/>
  <c r="O262" i="2"/>
  <c r="F262" i="2"/>
  <c r="E262" i="2"/>
  <c r="L34" i="6"/>
  <c r="P24" i="7"/>
  <c r="Q24" i="7" s="1"/>
  <c r="M24" i="7"/>
  <c r="N24" i="7" s="1"/>
  <c r="O24" i="7" s="1"/>
  <c r="M357" i="2"/>
  <c r="Q357" i="2"/>
  <c r="L357" i="2"/>
  <c r="T357" i="2"/>
  <c r="P357" i="2"/>
  <c r="O357" i="2"/>
  <c r="R357" i="2"/>
  <c r="J357" i="2"/>
  <c r="I357" i="2"/>
  <c r="V357" i="2"/>
  <c r="S357" i="2"/>
  <c r="G357" i="2"/>
  <c r="D357" i="2"/>
  <c r="K357" i="2"/>
  <c r="H357" i="2"/>
  <c r="N357" i="2"/>
  <c r="F357" i="2"/>
  <c r="E357" i="2"/>
  <c r="L26" i="10"/>
  <c r="M37" i="10"/>
  <c r="N37" i="10" s="1"/>
  <c r="O37" i="10" s="1"/>
  <c r="P37" i="10"/>
  <c r="Q37" i="10" s="1"/>
  <c r="P19" i="4"/>
  <c r="Q19" i="4" s="1"/>
  <c r="M19" i="4"/>
  <c r="N19" i="4" s="1"/>
  <c r="O19" i="4" s="1"/>
  <c r="P35" i="3"/>
  <c r="Q35" i="3" s="1"/>
  <c r="M35" i="3"/>
  <c r="N35" i="3" s="1"/>
  <c r="O35" i="3" s="1"/>
  <c r="P30" i="7"/>
  <c r="Q30" i="7" s="1"/>
  <c r="M30" i="7"/>
  <c r="N30" i="7" s="1"/>
  <c r="O30" i="7" s="1"/>
  <c r="L14" i="10"/>
  <c r="M16" i="6"/>
  <c r="N16" i="6" s="1"/>
  <c r="O16" i="6" s="1"/>
  <c r="P16" i="6"/>
  <c r="Q16" i="6" s="1"/>
  <c r="L26" i="4"/>
  <c r="P38" i="7"/>
  <c r="Q38" i="7" s="1"/>
  <c r="M38" i="7"/>
  <c r="N38" i="7" s="1"/>
  <c r="O38" i="7" s="1"/>
  <c r="M35" i="6"/>
  <c r="N35" i="6" s="1"/>
  <c r="O35" i="6" s="1"/>
  <c r="P35" i="6"/>
  <c r="Q35" i="6" s="1"/>
  <c r="L15" i="8"/>
  <c r="L33" i="3"/>
  <c r="H60" i="2"/>
  <c r="G60" i="2"/>
  <c r="V60" i="2"/>
  <c r="F60" i="2"/>
  <c r="E60" i="2"/>
  <c r="T60" i="2"/>
  <c r="D60" i="2"/>
  <c r="L60" i="2"/>
  <c r="K60" i="2"/>
  <c r="S60" i="2"/>
  <c r="R60" i="2"/>
  <c r="Q60" i="2"/>
  <c r="P60" i="2"/>
  <c r="O60" i="2"/>
  <c r="N60" i="2"/>
  <c r="M60" i="2"/>
  <c r="I60" i="2"/>
  <c r="J60" i="2"/>
  <c r="K88" i="2"/>
  <c r="J88" i="2"/>
  <c r="I88" i="2"/>
  <c r="H88" i="2"/>
  <c r="G88" i="2"/>
  <c r="N88" i="2"/>
  <c r="M88" i="2"/>
  <c r="L88" i="2"/>
  <c r="F88" i="2"/>
  <c r="E88" i="2"/>
  <c r="Q88" i="2"/>
  <c r="P88" i="2"/>
  <c r="T88" i="2"/>
  <c r="S88" i="2"/>
  <c r="R88" i="2"/>
  <c r="O88" i="2"/>
  <c r="D88" i="2"/>
  <c r="V88" i="2"/>
  <c r="P119" i="2"/>
  <c r="O119" i="2"/>
  <c r="N119" i="2"/>
  <c r="M119" i="2"/>
  <c r="L119" i="2"/>
  <c r="K119" i="2"/>
  <c r="J119" i="2"/>
  <c r="I119" i="2"/>
  <c r="H119" i="2"/>
  <c r="G119" i="2"/>
  <c r="E119" i="2"/>
  <c r="D119" i="2"/>
  <c r="V119" i="2"/>
  <c r="Q119" i="2"/>
  <c r="F119" i="2"/>
  <c r="T119" i="2"/>
  <c r="R119" i="2"/>
  <c r="S119" i="2"/>
  <c r="O200" i="2"/>
  <c r="N200" i="2"/>
  <c r="S200" i="2"/>
  <c r="R200" i="2"/>
  <c r="K200" i="2"/>
  <c r="J200" i="2"/>
  <c r="I200" i="2"/>
  <c r="M200" i="2"/>
  <c r="L200" i="2"/>
  <c r="H200" i="2"/>
  <c r="G200" i="2"/>
  <c r="F200" i="2"/>
  <c r="V200" i="2"/>
  <c r="T200" i="2"/>
  <c r="Q200" i="2"/>
  <c r="P200" i="2"/>
  <c r="E200" i="2"/>
  <c r="D200" i="2"/>
  <c r="Q152" i="2"/>
  <c r="P152" i="2"/>
  <c r="K152" i="2"/>
  <c r="J152" i="2"/>
  <c r="I152" i="2"/>
  <c r="T152" i="2"/>
  <c r="S152" i="2"/>
  <c r="R152" i="2"/>
  <c r="O152" i="2"/>
  <c r="N152" i="2"/>
  <c r="H152" i="2"/>
  <c r="G152" i="2"/>
  <c r="F152" i="2"/>
  <c r="E152" i="2"/>
  <c r="D152" i="2"/>
  <c r="L152" i="2"/>
  <c r="V152" i="2"/>
  <c r="M152" i="2"/>
  <c r="P181" i="2"/>
  <c r="O181" i="2"/>
  <c r="J181" i="2"/>
  <c r="I181" i="2"/>
  <c r="H181" i="2"/>
  <c r="Q181" i="2"/>
  <c r="N181" i="2"/>
  <c r="M181" i="2"/>
  <c r="L181" i="2"/>
  <c r="K181" i="2"/>
  <c r="G181" i="2"/>
  <c r="F181" i="2"/>
  <c r="E181" i="2"/>
  <c r="D181" i="2"/>
  <c r="T181" i="2"/>
  <c r="S181" i="2"/>
  <c r="V181" i="2"/>
  <c r="R181" i="2"/>
  <c r="I300" i="2"/>
  <c r="V300" i="2"/>
  <c r="F300" i="2"/>
  <c r="E300" i="2"/>
  <c r="O300" i="2"/>
  <c r="L300" i="2"/>
  <c r="K300" i="2"/>
  <c r="J300" i="2"/>
  <c r="N300" i="2"/>
  <c r="M300" i="2"/>
  <c r="Q300" i="2"/>
  <c r="P300" i="2"/>
  <c r="H300" i="2"/>
  <c r="T300" i="2"/>
  <c r="S300" i="2"/>
  <c r="D300" i="2"/>
  <c r="R300" i="2"/>
  <c r="G300" i="2"/>
  <c r="S45" i="2"/>
  <c r="R45" i="2"/>
  <c r="Q45" i="2"/>
  <c r="P45" i="2"/>
  <c r="O45" i="2"/>
  <c r="L45" i="2"/>
  <c r="V45" i="2"/>
  <c r="T45" i="2"/>
  <c r="N45" i="2"/>
  <c r="M45" i="2"/>
  <c r="K45" i="2"/>
  <c r="J45" i="2"/>
  <c r="H45" i="2"/>
  <c r="D45" i="2"/>
  <c r="G45" i="2"/>
  <c r="E45" i="2"/>
  <c r="F45" i="2"/>
  <c r="I45" i="2"/>
  <c r="V105" i="2"/>
  <c r="F105" i="2"/>
  <c r="E105" i="2"/>
  <c r="T105" i="2"/>
  <c r="D105" i="2"/>
  <c r="S105" i="2"/>
  <c r="R105" i="2"/>
  <c r="G105" i="2"/>
  <c r="N105" i="2"/>
  <c r="M105" i="2"/>
  <c r="L105" i="2"/>
  <c r="J105" i="2"/>
  <c r="I105" i="2"/>
  <c r="H105" i="2"/>
  <c r="P105" i="2"/>
  <c r="O105" i="2"/>
  <c r="Q105" i="2"/>
  <c r="K105" i="2"/>
  <c r="T131" i="2"/>
  <c r="D131" i="2"/>
  <c r="S131" i="2"/>
  <c r="R131" i="2"/>
  <c r="Q131" i="2"/>
  <c r="P131" i="2"/>
  <c r="O131" i="2"/>
  <c r="N131" i="2"/>
  <c r="M131" i="2"/>
  <c r="L131" i="2"/>
  <c r="K131" i="2"/>
  <c r="I131" i="2"/>
  <c r="H131" i="2"/>
  <c r="G131" i="2"/>
  <c r="E131" i="2"/>
  <c r="V131" i="2"/>
  <c r="J131" i="2"/>
  <c r="F131" i="2"/>
  <c r="P273" i="2"/>
  <c r="M273" i="2"/>
  <c r="L273" i="2"/>
  <c r="J273" i="2"/>
  <c r="G273" i="2"/>
  <c r="F273" i="2"/>
  <c r="O273" i="2"/>
  <c r="D273" i="2"/>
  <c r="Q273" i="2"/>
  <c r="N273" i="2"/>
  <c r="K273" i="2"/>
  <c r="R273" i="2"/>
  <c r="I273" i="2"/>
  <c r="H273" i="2"/>
  <c r="V273" i="2"/>
  <c r="T273" i="2"/>
  <c r="E273" i="2"/>
  <c r="S273" i="2"/>
  <c r="I144" i="2"/>
  <c r="H144" i="2"/>
  <c r="S144" i="2"/>
  <c r="R144" i="2"/>
  <c r="Q144" i="2"/>
  <c r="V144" i="2"/>
  <c r="T144" i="2"/>
  <c r="K144" i="2"/>
  <c r="J144" i="2"/>
  <c r="G144" i="2"/>
  <c r="F144" i="2"/>
  <c r="E144" i="2"/>
  <c r="L144" i="2"/>
  <c r="D144" i="2"/>
  <c r="N144" i="2"/>
  <c r="M144" i="2"/>
  <c r="P144" i="2"/>
  <c r="O144" i="2"/>
  <c r="I237" i="2"/>
  <c r="U237" i="2"/>
  <c r="W237" i="2" s="1"/>
  <c r="E237" i="2"/>
  <c r="F237" i="2"/>
  <c r="O237" i="2"/>
  <c r="N237" i="2"/>
  <c r="M237" i="2"/>
  <c r="D237" i="2"/>
  <c r="J237" i="2"/>
  <c r="H237" i="2"/>
  <c r="G237" i="2"/>
  <c r="V237" i="2"/>
  <c r="R237" i="2"/>
  <c r="K237" i="2"/>
  <c r="L237" i="2"/>
  <c r="Q237" i="2"/>
  <c r="P237" i="2"/>
  <c r="T237" i="2"/>
  <c r="S237" i="2"/>
  <c r="N236" i="2"/>
  <c r="J236" i="2"/>
  <c r="H236" i="2"/>
  <c r="Q236" i="2"/>
  <c r="P236" i="2"/>
  <c r="O236" i="2"/>
  <c r="F236" i="2"/>
  <c r="D236" i="2"/>
  <c r="V236" i="2"/>
  <c r="T236" i="2"/>
  <c r="S236" i="2"/>
  <c r="L236" i="2"/>
  <c r="R236" i="2"/>
  <c r="M236" i="2"/>
  <c r="K236" i="2"/>
  <c r="G236" i="2"/>
  <c r="E236" i="2"/>
  <c r="I236" i="2"/>
  <c r="P241" i="2"/>
  <c r="I241" i="2"/>
  <c r="V241" i="2"/>
  <c r="E241" i="2"/>
  <c r="R241" i="2"/>
  <c r="Q241" i="2"/>
  <c r="M241" i="2"/>
  <c r="L241" i="2"/>
  <c r="K241" i="2"/>
  <c r="G241" i="2"/>
  <c r="F241" i="2"/>
  <c r="D241" i="2"/>
  <c r="S241" i="2"/>
  <c r="J241" i="2"/>
  <c r="N241" i="2"/>
  <c r="H241" i="2"/>
  <c r="T241" i="2"/>
  <c r="O241" i="2"/>
  <c r="M351" i="2"/>
  <c r="S351" i="2"/>
  <c r="R351" i="2"/>
  <c r="O351" i="2"/>
  <c r="N351" i="2"/>
  <c r="V351" i="2"/>
  <c r="Q351" i="2"/>
  <c r="P351" i="2"/>
  <c r="E351" i="2"/>
  <c r="D351" i="2"/>
  <c r="L351" i="2"/>
  <c r="I351" i="2"/>
  <c r="H351" i="2"/>
  <c r="G351" i="2"/>
  <c r="F351" i="2"/>
  <c r="K351" i="2"/>
  <c r="J351" i="2"/>
  <c r="T351" i="2"/>
  <c r="P305" i="2"/>
  <c r="M305" i="2"/>
  <c r="L305" i="2"/>
  <c r="H305" i="2"/>
  <c r="E305" i="2"/>
  <c r="D305" i="2"/>
  <c r="V305" i="2"/>
  <c r="N305" i="2"/>
  <c r="K305" i="2"/>
  <c r="S305" i="2"/>
  <c r="R305" i="2"/>
  <c r="Q305" i="2"/>
  <c r="I305" i="2"/>
  <c r="T305" i="2"/>
  <c r="G305" i="2"/>
  <c r="O305" i="2"/>
  <c r="J305" i="2"/>
  <c r="F305" i="2"/>
  <c r="G367" i="2"/>
  <c r="L367" i="2"/>
  <c r="M367" i="2"/>
  <c r="H367" i="2"/>
  <c r="E367" i="2"/>
  <c r="D367" i="2"/>
  <c r="T367" i="2"/>
  <c r="P367" i="2"/>
  <c r="K367" i="2"/>
  <c r="J367" i="2"/>
  <c r="I367" i="2"/>
  <c r="F367" i="2"/>
  <c r="Q367" i="2"/>
  <c r="V367" i="2"/>
  <c r="S367" i="2"/>
  <c r="R367" i="2"/>
  <c r="O367" i="2"/>
  <c r="N367" i="2"/>
  <c r="H352" i="2"/>
  <c r="O352" i="2"/>
  <c r="N352" i="2"/>
  <c r="K352" i="2"/>
  <c r="J352" i="2"/>
  <c r="V352" i="2"/>
  <c r="S352" i="2"/>
  <c r="R352" i="2"/>
  <c r="I352" i="2"/>
  <c r="G352" i="2"/>
  <c r="D352" i="2"/>
  <c r="L352" i="2"/>
  <c r="F352" i="2"/>
  <c r="T352" i="2"/>
  <c r="Q352" i="2"/>
  <c r="P352" i="2"/>
  <c r="M352" i="2"/>
  <c r="E352" i="2"/>
  <c r="V324" i="2"/>
  <c r="F324" i="2"/>
  <c r="R324" i="2"/>
  <c r="Q324" i="2"/>
  <c r="E324" i="2"/>
  <c r="S324" i="2"/>
  <c r="P324" i="2"/>
  <c r="T324" i="2"/>
  <c r="M324" i="2"/>
  <c r="L324" i="2"/>
  <c r="K324" i="2"/>
  <c r="O324" i="2"/>
  <c r="N324" i="2"/>
  <c r="J324" i="2"/>
  <c r="I324" i="2"/>
  <c r="H324" i="2"/>
  <c r="G324" i="2"/>
  <c r="D324" i="2"/>
  <c r="S359" i="2"/>
  <c r="I359" i="2"/>
  <c r="V359" i="2"/>
  <c r="E359" i="2"/>
  <c r="Q359" i="2"/>
  <c r="P359" i="2"/>
  <c r="M359" i="2"/>
  <c r="L359" i="2"/>
  <c r="O359" i="2"/>
  <c r="N359" i="2"/>
  <c r="H359" i="2"/>
  <c r="G359" i="2"/>
  <c r="J359" i="2"/>
  <c r="R359" i="2"/>
  <c r="K359" i="2"/>
  <c r="F359" i="2"/>
  <c r="T359" i="2"/>
  <c r="D359" i="2"/>
  <c r="T22" i="2"/>
  <c r="V25" i="2" s="1"/>
  <c r="R22" i="2"/>
  <c r="L22" i="2"/>
  <c r="Q22" i="2"/>
  <c r="M22" i="2"/>
  <c r="P22" i="2"/>
  <c r="O22" i="2"/>
  <c r="N22" i="2"/>
  <c r="M20" i="6"/>
  <c r="N20" i="6" s="1"/>
  <c r="O20" i="6" s="1"/>
  <c r="P20" i="6"/>
  <c r="Q20" i="6" s="1"/>
  <c r="M22" i="6"/>
  <c r="N22" i="6" s="1"/>
  <c r="O22" i="6" s="1"/>
  <c r="P22" i="6"/>
  <c r="Q22" i="6" s="1"/>
  <c r="M21" i="8"/>
  <c r="N21" i="8" s="1"/>
  <c r="O21" i="8" s="1"/>
  <c r="P21" i="8"/>
  <c r="Q21" i="8" s="1"/>
  <c r="V54" i="2"/>
  <c r="F54" i="2"/>
  <c r="E54" i="2"/>
  <c r="T54" i="2"/>
  <c r="D54" i="2"/>
  <c r="S54" i="2"/>
  <c r="R54" i="2"/>
  <c r="Q54" i="2"/>
  <c r="K54" i="2"/>
  <c r="G54" i="2"/>
  <c r="P54" i="2"/>
  <c r="O54" i="2"/>
  <c r="M54" i="2"/>
  <c r="J54" i="2"/>
  <c r="H54" i="2"/>
  <c r="N54" i="2"/>
  <c r="I54" i="2"/>
  <c r="L54" i="2"/>
  <c r="K182" i="2"/>
  <c r="J182" i="2"/>
  <c r="E182" i="2"/>
  <c r="T182" i="2"/>
  <c r="D182" i="2"/>
  <c r="S182" i="2"/>
  <c r="Q182" i="2"/>
  <c r="P182" i="2"/>
  <c r="O182" i="2"/>
  <c r="N182" i="2"/>
  <c r="M182" i="2"/>
  <c r="V182" i="2"/>
  <c r="R182" i="2"/>
  <c r="L182" i="2"/>
  <c r="I182" i="2"/>
  <c r="H182" i="2"/>
  <c r="G182" i="2"/>
  <c r="F182" i="2"/>
  <c r="K323" i="2"/>
  <c r="G323" i="2"/>
  <c r="V323" i="2"/>
  <c r="F323" i="2"/>
  <c r="E323" i="2"/>
  <c r="T323" i="2"/>
  <c r="Q323" i="2"/>
  <c r="P323" i="2"/>
  <c r="L323" i="2"/>
  <c r="H323" i="2"/>
  <c r="D323" i="2"/>
  <c r="R323" i="2"/>
  <c r="O323" i="2"/>
  <c r="S323" i="2"/>
  <c r="N323" i="2"/>
  <c r="I323" i="2"/>
  <c r="M323" i="2"/>
  <c r="J323" i="2"/>
  <c r="V291" i="2"/>
  <c r="F291" i="2"/>
  <c r="S291" i="2"/>
  <c r="R291" i="2"/>
  <c r="H291" i="2"/>
  <c r="D291" i="2"/>
  <c r="N291" i="2"/>
  <c r="L291" i="2"/>
  <c r="K291" i="2"/>
  <c r="J291" i="2"/>
  <c r="T291" i="2"/>
  <c r="Q291" i="2"/>
  <c r="P291" i="2"/>
  <c r="M291" i="2"/>
  <c r="I291" i="2"/>
  <c r="G291" i="2"/>
  <c r="E291" i="2"/>
  <c r="O291" i="2"/>
  <c r="P25" i="3"/>
  <c r="Q25" i="3" s="1"/>
  <c r="M25" i="3"/>
  <c r="N25" i="3" s="1"/>
  <c r="O25" i="3" s="1"/>
  <c r="O65" i="2"/>
  <c r="N65" i="2"/>
  <c r="M65" i="2"/>
  <c r="L65" i="2"/>
  <c r="K65" i="2"/>
  <c r="V65" i="2"/>
  <c r="J65" i="2"/>
  <c r="D65" i="2"/>
  <c r="T65" i="2"/>
  <c r="R65" i="2"/>
  <c r="Q65" i="2"/>
  <c r="I65" i="2"/>
  <c r="G65" i="2"/>
  <c r="H65" i="2"/>
  <c r="F65" i="2"/>
  <c r="E65" i="2"/>
  <c r="S65" i="2"/>
  <c r="P65" i="2"/>
  <c r="K198" i="2"/>
  <c r="J198" i="2"/>
  <c r="U198" i="2"/>
  <c r="E198" i="2"/>
  <c r="T198" i="2"/>
  <c r="D198" i="2"/>
  <c r="S198" i="2"/>
  <c r="H198" i="2"/>
  <c r="G198" i="2"/>
  <c r="F198" i="2"/>
  <c r="V198" i="2"/>
  <c r="R198" i="2"/>
  <c r="Q198" i="2"/>
  <c r="P198" i="2"/>
  <c r="I198" i="2"/>
  <c r="L198" i="2"/>
  <c r="O198" i="2"/>
  <c r="N198" i="2"/>
  <c r="M198" i="2"/>
  <c r="L26" i="6"/>
  <c r="M35" i="4"/>
  <c r="N35" i="4" s="1"/>
  <c r="O35" i="4" s="1"/>
  <c r="P35" i="4"/>
  <c r="Q35" i="4" s="1"/>
  <c r="M37" i="3"/>
  <c r="N37" i="3" s="1"/>
  <c r="O37" i="3" s="1"/>
  <c r="P37" i="3"/>
  <c r="Q37" i="3" s="1"/>
  <c r="L153" i="2"/>
  <c r="K153" i="2"/>
  <c r="V153" i="2"/>
  <c r="F153" i="2"/>
  <c r="E153" i="2"/>
  <c r="T153" i="2"/>
  <c r="D153" i="2"/>
  <c r="S153" i="2"/>
  <c r="R153" i="2"/>
  <c r="Q153" i="2"/>
  <c r="P153" i="2"/>
  <c r="O153" i="2"/>
  <c r="N153" i="2"/>
  <c r="J153" i="2"/>
  <c r="I153" i="2"/>
  <c r="H153" i="2"/>
  <c r="M153" i="2"/>
  <c r="G153" i="2"/>
  <c r="K136" i="2"/>
  <c r="J136" i="2"/>
  <c r="I136" i="2"/>
  <c r="H136" i="2"/>
  <c r="G136" i="2"/>
  <c r="D136" i="2"/>
  <c r="V136" i="2"/>
  <c r="U136" i="2"/>
  <c r="W136" i="2" s="1"/>
  <c r="S136" i="2"/>
  <c r="R136" i="2"/>
  <c r="L136" i="2"/>
  <c r="F136" i="2"/>
  <c r="E136" i="2"/>
  <c r="T136" i="2"/>
  <c r="Q136" i="2"/>
  <c r="O136" i="2"/>
  <c r="M136" i="2"/>
  <c r="N136" i="2"/>
  <c r="P136" i="2"/>
  <c r="O223" i="2"/>
  <c r="K223" i="2"/>
  <c r="G223" i="2"/>
  <c r="Q223" i="2"/>
  <c r="P223" i="2"/>
  <c r="I223" i="2"/>
  <c r="H223" i="2"/>
  <c r="F223" i="2"/>
  <c r="E223" i="2"/>
  <c r="V223" i="2"/>
  <c r="R223" i="2"/>
  <c r="S223" i="2"/>
  <c r="N223" i="2"/>
  <c r="M223" i="2"/>
  <c r="L223" i="2"/>
  <c r="J223" i="2"/>
  <c r="T223" i="2"/>
  <c r="D223" i="2"/>
  <c r="M24" i="8"/>
  <c r="N24" i="8" s="1"/>
  <c r="O24" i="8" s="1"/>
  <c r="P24" i="8"/>
  <c r="Q24" i="8" s="1"/>
  <c r="O132" i="2"/>
  <c r="N132" i="2"/>
  <c r="M132" i="2"/>
  <c r="L132" i="2"/>
  <c r="K132" i="2"/>
  <c r="T132" i="2"/>
  <c r="S132" i="2"/>
  <c r="R132" i="2"/>
  <c r="Q132" i="2"/>
  <c r="P132" i="2"/>
  <c r="E132" i="2"/>
  <c r="D132" i="2"/>
  <c r="V132" i="2"/>
  <c r="J132" i="2"/>
  <c r="I132" i="2"/>
  <c r="H132" i="2"/>
  <c r="G132" i="2"/>
  <c r="F132" i="2"/>
  <c r="G208" i="2"/>
  <c r="V208" i="2"/>
  <c r="F208" i="2"/>
  <c r="O208" i="2"/>
  <c r="N208" i="2"/>
  <c r="M208" i="2"/>
  <c r="I208" i="2"/>
  <c r="H208" i="2"/>
  <c r="E208" i="2"/>
  <c r="S208" i="2"/>
  <c r="R208" i="2"/>
  <c r="Q208" i="2"/>
  <c r="P208" i="2"/>
  <c r="L208" i="2"/>
  <c r="T208" i="2"/>
  <c r="K208" i="2"/>
  <c r="J208" i="2"/>
  <c r="D208" i="2"/>
  <c r="R209" i="2"/>
  <c r="Q209" i="2"/>
  <c r="L209" i="2"/>
  <c r="K209" i="2"/>
  <c r="J209" i="2"/>
  <c r="F209" i="2"/>
  <c r="E209" i="2"/>
  <c r="V209" i="2"/>
  <c r="D209" i="2"/>
  <c r="S209" i="2"/>
  <c r="P209" i="2"/>
  <c r="M209" i="2"/>
  <c r="I209" i="2"/>
  <c r="H209" i="2"/>
  <c r="O209" i="2"/>
  <c r="N209" i="2"/>
  <c r="G209" i="2"/>
  <c r="T209" i="2"/>
  <c r="P375" i="2"/>
  <c r="O375" i="2"/>
  <c r="H375" i="2"/>
  <c r="T375" i="2"/>
  <c r="N375" i="2"/>
  <c r="Q375" i="2"/>
  <c r="M375" i="2"/>
  <c r="J375" i="2"/>
  <c r="I375" i="2"/>
  <c r="V375" i="2"/>
  <c r="L375" i="2"/>
  <c r="K375" i="2"/>
  <c r="R375" i="2"/>
  <c r="G375" i="2"/>
  <c r="E375" i="2"/>
  <c r="D375" i="2"/>
  <c r="S375" i="2"/>
  <c r="F375" i="2"/>
  <c r="J336" i="2"/>
  <c r="I336" i="2"/>
  <c r="V336" i="2"/>
  <c r="F336" i="2"/>
  <c r="E336" i="2"/>
  <c r="M336" i="2"/>
  <c r="H336" i="2"/>
  <c r="G336" i="2"/>
  <c r="S336" i="2"/>
  <c r="R336" i="2"/>
  <c r="N336" i="2"/>
  <c r="D336" i="2"/>
  <c r="P336" i="2"/>
  <c r="Q336" i="2"/>
  <c r="O336" i="2"/>
  <c r="L336" i="2"/>
  <c r="T336" i="2"/>
  <c r="K336" i="2"/>
  <c r="G327" i="2"/>
  <c r="S327" i="2"/>
  <c r="R327" i="2"/>
  <c r="P327" i="2"/>
  <c r="H327" i="2"/>
  <c r="F327" i="2"/>
  <c r="O327" i="2"/>
  <c r="L327" i="2"/>
  <c r="K327" i="2"/>
  <c r="J327" i="2"/>
  <c r="N327" i="2"/>
  <c r="M327" i="2"/>
  <c r="D327" i="2"/>
  <c r="V327" i="2"/>
  <c r="Q327" i="2"/>
  <c r="T327" i="2"/>
  <c r="E327" i="2"/>
  <c r="I327" i="2"/>
  <c r="L38" i="3"/>
  <c r="E272" i="2"/>
  <c r="R272" i="2"/>
  <c r="Q272" i="2"/>
  <c r="L272" i="2"/>
  <c r="I272" i="2"/>
  <c r="H272" i="2"/>
  <c r="K272" i="2"/>
  <c r="G272" i="2"/>
  <c r="F272" i="2"/>
  <c r="D272" i="2"/>
  <c r="S272" i="2"/>
  <c r="O272" i="2"/>
  <c r="N272" i="2"/>
  <c r="M272" i="2"/>
  <c r="J272" i="2"/>
  <c r="V272" i="2"/>
  <c r="T272" i="2"/>
  <c r="P272" i="2"/>
  <c r="L293" i="2"/>
  <c r="I293" i="2"/>
  <c r="H293" i="2"/>
  <c r="D293" i="2"/>
  <c r="T293" i="2"/>
  <c r="S293" i="2"/>
  <c r="F293" i="2"/>
  <c r="E293" i="2"/>
  <c r="O293" i="2"/>
  <c r="N293" i="2"/>
  <c r="M293" i="2"/>
  <c r="G293" i="2"/>
  <c r="R293" i="2"/>
  <c r="Q293" i="2"/>
  <c r="P293" i="2"/>
  <c r="K293" i="2"/>
  <c r="J293" i="2"/>
  <c r="V293" i="2"/>
  <c r="P29" i="7"/>
  <c r="Q29" i="7" s="1"/>
  <c r="M29" i="7"/>
  <c r="N29" i="7" s="1"/>
  <c r="O29" i="7" s="1"/>
  <c r="P24" i="3"/>
  <c r="Q24" i="3" s="1"/>
  <c r="M24" i="3"/>
  <c r="N24" i="3" s="1"/>
  <c r="O24" i="3" s="1"/>
  <c r="P37" i="8"/>
  <c r="Q37" i="8" s="1"/>
  <c r="M37" i="8"/>
  <c r="N37" i="8" s="1"/>
  <c r="O37" i="8" s="1"/>
  <c r="L18" i="6"/>
  <c r="L34" i="4"/>
  <c r="P15" i="7"/>
  <c r="M15" i="7"/>
  <c r="N15" i="7" s="1"/>
  <c r="O15" i="7" s="1"/>
  <c r="P16" i="5"/>
  <c r="Q16" i="5" s="1"/>
  <c r="M16" i="5"/>
  <c r="N16" i="5" s="1"/>
  <c r="O16" i="5" s="1"/>
  <c r="L17" i="8"/>
  <c r="P37" i="5"/>
  <c r="Q37" i="5" s="1"/>
  <c r="M37" i="5"/>
  <c r="N37" i="5" s="1"/>
  <c r="O37" i="5" s="1"/>
  <c r="L16" i="3"/>
  <c r="Q90" i="2"/>
  <c r="P90" i="2"/>
  <c r="O90" i="2"/>
  <c r="N90" i="2"/>
  <c r="M90" i="2"/>
  <c r="S90" i="2"/>
  <c r="R90" i="2"/>
  <c r="L90" i="2"/>
  <c r="K90" i="2"/>
  <c r="J90" i="2"/>
  <c r="F90" i="2"/>
  <c r="E90" i="2"/>
  <c r="V90" i="2"/>
  <c r="T90" i="2"/>
  <c r="I90" i="2"/>
  <c r="H90" i="2"/>
  <c r="D90" i="2"/>
  <c r="G90" i="2"/>
  <c r="O100" i="2"/>
  <c r="N100" i="2"/>
  <c r="M100" i="2"/>
  <c r="L100" i="2"/>
  <c r="K100" i="2"/>
  <c r="R100" i="2"/>
  <c r="Q100" i="2"/>
  <c r="P100" i="2"/>
  <c r="J100" i="2"/>
  <c r="I100" i="2"/>
  <c r="T100" i="2"/>
  <c r="S100" i="2"/>
  <c r="H100" i="2"/>
  <c r="G100" i="2"/>
  <c r="F100" i="2"/>
  <c r="E100" i="2"/>
  <c r="D100" i="2"/>
  <c r="V100" i="2"/>
  <c r="T20" i="2"/>
  <c r="R20" i="2"/>
  <c r="Q20" i="2"/>
  <c r="P20" i="2"/>
  <c r="O20" i="2"/>
  <c r="N20" i="2"/>
  <c r="L20" i="2"/>
  <c r="M20" i="2"/>
  <c r="L91" i="2"/>
  <c r="K91" i="2"/>
  <c r="J91" i="2"/>
  <c r="I91" i="2"/>
  <c r="H91" i="2"/>
  <c r="S91" i="2"/>
  <c r="R91" i="2"/>
  <c r="Q91" i="2"/>
  <c r="P91" i="2"/>
  <c r="O91" i="2"/>
  <c r="T91" i="2"/>
  <c r="D91" i="2"/>
  <c r="F91" i="2"/>
  <c r="E91" i="2"/>
  <c r="N91" i="2"/>
  <c r="G91" i="2"/>
  <c r="M91" i="2"/>
  <c r="V91" i="2"/>
  <c r="O286" i="2"/>
  <c r="L286" i="2"/>
  <c r="K286" i="2"/>
  <c r="N286" i="2"/>
  <c r="I286" i="2"/>
  <c r="H286" i="2"/>
  <c r="F286" i="2"/>
  <c r="V286" i="2"/>
  <c r="S286" i="2"/>
  <c r="R286" i="2"/>
  <c r="Q286" i="2"/>
  <c r="M286" i="2"/>
  <c r="J286" i="2"/>
  <c r="G286" i="2"/>
  <c r="T286" i="2"/>
  <c r="D286" i="2"/>
  <c r="E286" i="2"/>
  <c r="P286" i="2"/>
  <c r="H189" i="2"/>
  <c r="G189" i="2"/>
  <c r="R189" i="2"/>
  <c r="Q189" i="2"/>
  <c r="P189" i="2"/>
  <c r="K189" i="2"/>
  <c r="J189" i="2"/>
  <c r="I189" i="2"/>
  <c r="F189" i="2"/>
  <c r="E189" i="2"/>
  <c r="N189" i="2"/>
  <c r="M189" i="2"/>
  <c r="L189" i="2"/>
  <c r="D189" i="2"/>
  <c r="T189" i="2"/>
  <c r="S189" i="2"/>
  <c r="V189" i="2"/>
  <c r="O189" i="2"/>
  <c r="T48" i="2"/>
  <c r="D48" i="2"/>
  <c r="S48" i="2"/>
  <c r="R48" i="2"/>
  <c r="Q48" i="2"/>
  <c r="P48" i="2"/>
  <c r="H48" i="2"/>
  <c r="G48" i="2"/>
  <c r="V48" i="2"/>
  <c r="N48" i="2"/>
  <c r="M48" i="2"/>
  <c r="L48" i="2"/>
  <c r="K48" i="2"/>
  <c r="J48" i="2"/>
  <c r="I48" i="2"/>
  <c r="F48" i="2"/>
  <c r="E48" i="2"/>
  <c r="O48" i="2"/>
  <c r="S61" i="2"/>
  <c r="R61" i="2"/>
  <c r="Q61" i="2"/>
  <c r="P61" i="2"/>
  <c r="O61" i="2"/>
  <c r="L61" i="2"/>
  <c r="K61" i="2"/>
  <c r="E61" i="2"/>
  <c r="V61" i="2"/>
  <c r="N61" i="2"/>
  <c r="M61" i="2"/>
  <c r="I61" i="2"/>
  <c r="G61" i="2"/>
  <c r="D61" i="2"/>
  <c r="F61" i="2"/>
  <c r="T61" i="2"/>
  <c r="J61" i="2"/>
  <c r="H61" i="2"/>
  <c r="V121" i="2"/>
  <c r="F121" i="2"/>
  <c r="E121" i="2"/>
  <c r="T121" i="2"/>
  <c r="D121" i="2"/>
  <c r="S121" i="2"/>
  <c r="R121" i="2"/>
  <c r="P121" i="2"/>
  <c r="O121" i="2"/>
  <c r="N121" i="2"/>
  <c r="M121" i="2"/>
  <c r="L121" i="2"/>
  <c r="Q121" i="2"/>
  <c r="K121" i="2"/>
  <c r="J121" i="2"/>
  <c r="I121" i="2"/>
  <c r="H121" i="2"/>
  <c r="G121" i="2"/>
  <c r="R155" i="2"/>
  <c r="Q155" i="2"/>
  <c r="L155" i="2"/>
  <c r="K155" i="2"/>
  <c r="J155" i="2"/>
  <c r="D155" i="2"/>
  <c r="V155" i="2"/>
  <c r="O155" i="2"/>
  <c r="N155" i="2"/>
  <c r="M155" i="2"/>
  <c r="I155" i="2"/>
  <c r="H155" i="2"/>
  <c r="T155" i="2"/>
  <c r="S155" i="2"/>
  <c r="P155" i="2"/>
  <c r="F155" i="2"/>
  <c r="G155" i="2"/>
  <c r="E155" i="2"/>
  <c r="K150" i="2"/>
  <c r="J150" i="2"/>
  <c r="E150" i="2"/>
  <c r="T150" i="2"/>
  <c r="D150" i="2"/>
  <c r="S150" i="2"/>
  <c r="O150" i="2"/>
  <c r="N150" i="2"/>
  <c r="M150" i="2"/>
  <c r="L150" i="2"/>
  <c r="I150" i="2"/>
  <c r="V150" i="2"/>
  <c r="R150" i="2"/>
  <c r="Q150" i="2"/>
  <c r="P150" i="2"/>
  <c r="H150" i="2"/>
  <c r="G150" i="2"/>
  <c r="F150" i="2"/>
  <c r="I160" i="2"/>
  <c r="H160" i="2"/>
  <c r="S160" i="2"/>
  <c r="R160" i="2"/>
  <c r="Q160" i="2"/>
  <c r="N160" i="2"/>
  <c r="M160" i="2"/>
  <c r="L160" i="2"/>
  <c r="K160" i="2"/>
  <c r="J160" i="2"/>
  <c r="O160" i="2"/>
  <c r="G160" i="2"/>
  <c r="F160" i="2"/>
  <c r="E160" i="2"/>
  <c r="D160" i="2"/>
  <c r="T160" i="2"/>
  <c r="P160" i="2"/>
  <c r="V160" i="2"/>
  <c r="Q244" i="2"/>
  <c r="N244" i="2"/>
  <c r="J244" i="2"/>
  <c r="H244" i="2"/>
  <c r="P244" i="2"/>
  <c r="O244" i="2"/>
  <c r="M244" i="2"/>
  <c r="V244" i="2"/>
  <c r="I244" i="2"/>
  <c r="F244" i="2"/>
  <c r="E244" i="2"/>
  <c r="D244" i="2"/>
  <c r="S244" i="2"/>
  <c r="T244" i="2"/>
  <c r="R244" i="2"/>
  <c r="L244" i="2"/>
  <c r="G244" i="2"/>
  <c r="K244" i="2"/>
  <c r="H249" i="2"/>
  <c r="L249" i="2"/>
  <c r="G249" i="2"/>
  <c r="T249" i="2"/>
  <c r="O249" i="2"/>
  <c r="N249" i="2"/>
  <c r="M249" i="2"/>
  <c r="S249" i="2"/>
  <c r="R249" i="2"/>
  <c r="F249" i="2"/>
  <c r="D249" i="2"/>
  <c r="P249" i="2"/>
  <c r="V249" i="2"/>
  <c r="Q249" i="2"/>
  <c r="K249" i="2"/>
  <c r="J249" i="2"/>
  <c r="I249" i="2"/>
  <c r="E249" i="2"/>
  <c r="G349" i="2"/>
  <c r="J349" i="2"/>
  <c r="I349" i="2"/>
  <c r="V349" i="2"/>
  <c r="E349" i="2"/>
  <c r="D349" i="2"/>
  <c r="Q349" i="2"/>
  <c r="N349" i="2"/>
  <c r="M349" i="2"/>
  <c r="R349" i="2"/>
  <c r="P349" i="2"/>
  <c r="K349" i="2"/>
  <c r="H349" i="2"/>
  <c r="O349" i="2"/>
  <c r="L349" i="2"/>
  <c r="F349" i="2"/>
  <c r="T349" i="2"/>
  <c r="S349" i="2"/>
  <c r="L214" i="2"/>
  <c r="T214" i="2"/>
  <c r="Q214" i="2"/>
  <c r="P214" i="2"/>
  <c r="F214" i="2"/>
  <c r="E214" i="2"/>
  <c r="D214" i="2"/>
  <c r="S214" i="2"/>
  <c r="R214" i="2"/>
  <c r="O214" i="2"/>
  <c r="K214" i="2"/>
  <c r="J214" i="2"/>
  <c r="I214" i="2"/>
  <c r="H214" i="2"/>
  <c r="G214" i="2"/>
  <c r="N214" i="2"/>
  <c r="M214" i="2"/>
  <c r="V214" i="2"/>
  <c r="S315" i="2"/>
  <c r="O315" i="2"/>
  <c r="P315" i="2"/>
  <c r="T315" i="2"/>
  <c r="R315" i="2"/>
  <c r="M315" i="2"/>
  <c r="L315" i="2"/>
  <c r="H315" i="2"/>
  <c r="E315" i="2"/>
  <c r="D315" i="2"/>
  <c r="Q315" i="2"/>
  <c r="N315" i="2"/>
  <c r="K315" i="2"/>
  <c r="J315" i="2"/>
  <c r="G315" i="2"/>
  <c r="F315" i="2"/>
  <c r="V315" i="2"/>
  <c r="I315" i="2"/>
  <c r="S219" i="2"/>
  <c r="O219" i="2"/>
  <c r="R219" i="2"/>
  <c r="D219" i="2"/>
  <c r="V219" i="2"/>
  <c r="F219" i="2"/>
  <c r="E219" i="2"/>
  <c r="T219" i="2"/>
  <c r="Q219" i="2"/>
  <c r="P219" i="2"/>
  <c r="N219" i="2"/>
  <c r="K219" i="2"/>
  <c r="G219" i="2"/>
  <c r="M219" i="2"/>
  <c r="L219" i="2"/>
  <c r="I219" i="2"/>
  <c r="H219" i="2"/>
  <c r="J219" i="2"/>
  <c r="O372" i="2"/>
  <c r="N372" i="2"/>
  <c r="Q372" i="2"/>
  <c r="E372" i="2"/>
  <c r="T372" i="2"/>
  <c r="K372" i="2"/>
  <c r="J372" i="2"/>
  <c r="G372" i="2"/>
  <c r="F372" i="2"/>
  <c r="V372" i="2"/>
  <c r="M372" i="2"/>
  <c r="L372" i="2"/>
  <c r="D372" i="2"/>
  <c r="H372" i="2"/>
  <c r="S372" i="2"/>
  <c r="R372" i="2"/>
  <c r="P372" i="2"/>
  <c r="I372" i="2"/>
  <c r="K376" i="2"/>
  <c r="J376" i="2"/>
  <c r="E376" i="2"/>
  <c r="R376" i="2"/>
  <c r="N376" i="2"/>
  <c r="Q376" i="2"/>
  <c r="P376" i="2"/>
  <c r="L376" i="2"/>
  <c r="I376" i="2"/>
  <c r="D376" i="2"/>
  <c r="T376" i="2"/>
  <c r="M376" i="2"/>
  <c r="H376" i="2"/>
  <c r="G376" i="2"/>
  <c r="V376" i="2"/>
  <c r="S376" i="2"/>
  <c r="O376" i="2"/>
  <c r="F376" i="2"/>
  <c r="I370" i="2"/>
  <c r="H370" i="2"/>
  <c r="G370" i="2"/>
  <c r="V370" i="2"/>
  <c r="K370" i="2"/>
  <c r="J370" i="2"/>
  <c r="D370" i="2"/>
  <c r="N370" i="2"/>
  <c r="F370" i="2"/>
  <c r="E370" i="2"/>
  <c r="R370" i="2"/>
  <c r="Q370" i="2"/>
  <c r="M370" i="2"/>
  <c r="L370" i="2"/>
  <c r="T370" i="2"/>
  <c r="O370" i="2"/>
  <c r="S370" i="2"/>
  <c r="P370" i="2"/>
  <c r="Q24" i="1"/>
  <c r="K34" i="2"/>
  <c r="D13" i="2"/>
  <c r="G29" i="2"/>
  <c r="J29" i="2"/>
  <c r="J30" i="2"/>
  <c r="D26" i="2"/>
  <c r="D41" i="2"/>
  <c r="H12" i="2"/>
  <c r="E38" i="2"/>
  <c r="G15" i="2"/>
  <c r="E39" i="2"/>
  <c r="I14" i="2"/>
  <c r="H32" i="2"/>
  <c r="G31" i="2"/>
  <c r="E17" i="2"/>
  <c r="H33" i="2"/>
  <c r="F25" i="2"/>
  <c r="D22" i="2"/>
  <c r="D15" i="2"/>
  <c r="D17" i="2"/>
  <c r="H22" i="2"/>
  <c r="H28" i="2"/>
  <c r="E34" i="2"/>
  <c r="L24" i="1"/>
  <c r="F37" i="2"/>
  <c r="I29" i="2"/>
  <c r="G12" i="2"/>
  <c r="K21" i="2"/>
  <c r="G18" i="2"/>
  <c r="E19" i="2"/>
  <c r="J35" i="2"/>
  <c r="E16" i="2"/>
  <c r="F14" i="2"/>
  <c r="G32" i="2"/>
  <c r="I23" i="2"/>
  <c r="F33" i="2"/>
  <c r="K33" i="2"/>
  <c r="H20" i="2"/>
  <c r="G20" i="2"/>
  <c r="I41" i="2"/>
  <c r="H14" i="2"/>
  <c r="F23" i="2"/>
  <c r="E40" i="2"/>
  <c r="F17" i="2"/>
  <c r="D28" i="2"/>
  <c r="D34" i="2"/>
  <c r="D37" i="2"/>
  <c r="F29" i="2"/>
  <c r="D30" i="2"/>
  <c r="D38" i="2"/>
  <c r="E15" i="2"/>
  <c r="J21" i="2"/>
  <c r="D39" i="2"/>
  <c r="E14" i="2"/>
  <c r="J27" i="2"/>
  <c r="F32" i="2"/>
  <c r="E23" i="2"/>
  <c r="H23" i="2"/>
  <c r="I40" i="2"/>
  <c r="E31" i="2"/>
  <c r="E33" i="2"/>
  <c r="E25" i="2"/>
  <c r="F20" i="2"/>
  <c r="K20" i="2"/>
  <c r="J19" i="2"/>
  <c r="G27" i="2"/>
  <c r="I22" i="2"/>
  <c r="J25" i="2"/>
  <c r="I12" i="2"/>
  <c r="F38" i="2"/>
  <c r="H15" i="2"/>
  <c r="F16" i="2"/>
  <c r="L23" i="1"/>
  <c r="K30" i="2"/>
  <c r="F12" i="2"/>
  <c r="I21" i="2"/>
  <c r="D19" i="2"/>
  <c r="H35" i="2"/>
  <c r="D16" i="2"/>
  <c r="D27" i="2"/>
  <c r="E32" i="2"/>
  <c r="D33" i="2"/>
  <c r="D18" i="2"/>
  <c r="F35" i="2"/>
  <c r="H40" i="2"/>
  <c r="I20" i="2"/>
  <c r="E35" i="2"/>
  <c r="J22" i="2"/>
  <c r="K22" i="2"/>
  <c r="J14" i="2"/>
  <c r="H17" i="2"/>
  <c r="G22" i="2"/>
  <c r="F19" i="2"/>
  <c r="H31" i="2"/>
  <c r="E29" i="2"/>
  <c r="E30" i="2"/>
  <c r="F15" i="2"/>
  <c r="G21" i="2"/>
  <c r="E18" i="2"/>
  <c r="G35" i="2"/>
  <c r="D23" i="2"/>
  <c r="K40" i="2"/>
  <c r="L20" i="1"/>
  <c r="F30" i="2"/>
  <c r="K26" i="2"/>
  <c r="E27" i="2"/>
  <c r="F40" i="2"/>
  <c r="K25" i="2"/>
  <c r="E41" i="2"/>
  <c r="K32" i="2"/>
  <c r="E20" i="2"/>
  <c r="J13" i="2"/>
  <c r="D12" i="2"/>
  <c r="D35" i="2"/>
  <c r="K14" i="2"/>
  <c r="H27" i="2"/>
  <c r="D32" i="2"/>
  <c r="G40" i="2"/>
  <c r="J20" i="2"/>
  <c r="I13" i="2"/>
  <c r="D29" i="2"/>
  <c r="I30" i="2"/>
  <c r="G26" i="2"/>
  <c r="K17" i="2"/>
  <c r="I16" i="2"/>
  <c r="D20" i="2"/>
  <c r="J37" i="2"/>
  <c r="G13" i="2"/>
  <c r="I18" i="2"/>
  <c r="I33" i="2"/>
  <c r="K29" i="2"/>
  <c r="F39" i="2"/>
  <c r="I35" i="2"/>
  <c r="G17" i="2"/>
  <c r="G33" i="2"/>
  <c r="K28" i="2"/>
  <c r="H30" i="2"/>
  <c r="L19" i="1"/>
  <c r="J28" i="2"/>
  <c r="E28" i="2"/>
  <c r="H13" i="2"/>
  <c r="G30" i="2"/>
  <c r="J26" i="2"/>
  <c r="K41" i="2"/>
  <c r="E12" i="2"/>
  <c r="H21" i="2"/>
  <c r="K18" i="2"/>
  <c r="F27" i="2"/>
  <c r="D40" i="2"/>
  <c r="D31" i="2"/>
  <c r="I27" i="2"/>
  <c r="I28" i="2"/>
  <c r="K37" i="2"/>
  <c r="H26" i="2"/>
  <c r="F41" i="2"/>
  <c r="F21" i="2"/>
  <c r="J18" i="2"/>
  <c r="J16" i="2"/>
  <c r="I32" i="2"/>
  <c r="J40" i="2"/>
  <c r="J17" i="2"/>
  <c r="J23" i="2"/>
  <c r="G28" i="2"/>
  <c r="I34" i="2"/>
  <c r="I37" i="2"/>
  <c r="H29" i="2"/>
  <c r="I26" i="2"/>
  <c r="H41" i="2"/>
  <c r="J38" i="2"/>
  <c r="K38" i="2"/>
  <c r="E21" i="2"/>
  <c r="H18" i="2"/>
  <c r="K39" i="2"/>
  <c r="I19" i="2"/>
  <c r="G34" i="2"/>
  <c r="H34" i="2"/>
  <c r="H37" i="2"/>
  <c r="F13" i="2"/>
  <c r="K13" i="2"/>
  <c r="F26" i="2"/>
  <c r="I38" i="2"/>
  <c r="K15" i="2"/>
  <c r="I39" i="2"/>
  <c r="H19" i="2"/>
  <c r="H16" i="2"/>
  <c r="G14" i="2"/>
  <c r="K23" i="2"/>
  <c r="K31" i="2"/>
  <c r="F31" i="2"/>
  <c r="J33" i="2"/>
  <c r="I25" i="2"/>
  <c r="D25" i="2"/>
  <c r="F22" i="2"/>
  <c r="L22" i="1"/>
  <c r="F28" i="2"/>
  <c r="J34" i="2"/>
  <c r="G37" i="2"/>
  <c r="J41" i="2"/>
  <c r="K12" i="2"/>
  <c r="H38" i="2"/>
  <c r="J15" i="2"/>
  <c r="D21" i="2"/>
  <c r="F18" i="2"/>
  <c r="H39" i="2"/>
  <c r="J39" i="2"/>
  <c r="G19" i="2"/>
  <c r="K19" i="2"/>
  <c r="G16" i="2"/>
  <c r="K16" i="2"/>
  <c r="D14" i="2"/>
  <c r="G23" i="2"/>
  <c r="J31" i="2"/>
  <c r="H25" i="2"/>
  <c r="F34" i="2"/>
  <c r="E37" i="2"/>
  <c r="E13" i="2"/>
  <c r="E26" i="2"/>
  <c r="G41" i="2"/>
  <c r="J12" i="2"/>
  <c r="G38" i="2"/>
  <c r="I15" i="2"/>
  <c r="G39" i="2"/>
  <c r="K35" i="2"/>
  <c r="K27" i="2"/>
  <c r="J32" i="2"/>
  <c r="I31" i="2"/>
  <c r="I17" i="2"/>
  <c r="G25" i="2"/>
  <c r="E22" i="2"/>
  <c r="U313" i="2" l="1"/>
  <c r="W313" i="2" s="1"/>
  <c r="U212" i="2"/>
  <c r="W212" i="2" s="1"/>
  <c r="U270" i="2"/>
  <c r="W270" i="2" s="1"/>
  <c r="U300" i="2"/>
  <c r="U262" i="2"/>
  <c r="W262" i="2" s="1"/>
  <c r="U207" i="2"/>
  <c r="W207" i="2" s="1"/>
  <c r="U54" i="2"/>
  <c r="W54" i="2" s="1"/>
  <c r="U205" i="2"/>
  <c r="W205" i="2" s="1"/>
  <c r="U210" i="2"/>
  <c r="W210" i="2" s="1"/>
  <c r="U308" i="2"/>
  <c r="W308" i="2" s="1"/>
  <c r="U372" i="2"/>
  <c r="W372" i="2" s="1"/>
  <c r="U150" i="2"/>
  <c r="W150" i="2" s="1"/>
  <c r="U236" i="2"/>
  <c r="W236" i="2" s="1"/>
  <c r="U168" i="2"/>
  <c r="W168" i="2" s="1"/>
  <c r="U113" i="2"/>
  <c r="W113" i="2" s="1"/>
  <c r="U219" i="2"/>
  <c r="W219" i="2" s="1"/>
  <c r="U351" i="2"/>
  <c r="W351" i="2" s="1"/>
  <c r="U88" i="2"/>
  <c r="U68" i="2"/>
  <c r="U311" i="2"/>
  <c r="W311" i="2" s="1"/>
  <c r="U184" i="2"/>
  <c r="U306" i="2"/>
  <c r="U160" i="2"/>
  <c r="W160" i="2" s="1"/>
  <c r="U303" i="2"/>
  <c r="W303" i="2" s="1"/>
  <c r="U221" i="2"/>
  <c r="W221" i="2" s="1"/>
  <c r="U293" i="2"/>
  <c r="W293" i="2" s="1"/>
  <c r="U233" i="2"/>
  <c r="W233" i="2" s="1"/>
  <c r="U272" i="2"/>
  <c r="W272" i="2" s="1"/>
  <c r="U375" i="2"/>
  <c r="W375" i="2" s="1"/>
  <c r="U359" i="2"/>
  <c r="W359" i="2" s="1"/>
  <c r="U60" i="2"/>
  <c r="W60" i="2" s="1"/>
  <c r="U66" i="2"/>
  <c r="W66" i="2" s="1"/>
  <c r="U51" i="2"/>
  <c r="W51" i="2" s="1"/>
  <c r="U348" i="2"/>
  <c r="W348" i="2" s="1"/>
  <c r="U115" i="2"/>
  <c r="W115" i="2" s="1"/>
  <c r="U93" i="2"/>
  <c r="W93" i="2" s="1"/>
  <c r="U217" i="2"/>
  <c r="W217" i="2" s="1"/>
  <c r="U157" i="2"/>
  <c r="W157" i="2" s="1"/>
  <c r="U214" i="2"/>
  <c r="W214" i="2" s="1"/>
  <c r="U48" i="2"/>
  <c r="W48" i="2" s="1"/>
  <c r="U327" i="2"/>
  <c r="W327" i="2" s="1"/>
  <c r="U151" i="2"/>
  <c r="W151" i="2" s="1"/>
  <c r="U186" i="2"/>
  <c r="W186" i="2" s="1"/>
  <c r="U44" i="2"/>
  <c r="W44" i="2" s="1"/>
  <c r="U253" i="2"/>
  <c r="W253" i="2" s="1"/>
  <c r="U97" i="2"/>
  <c r="W97" i="2" s="1"/>
  <c r="U178" i="2"/>
  <c r="U365" i="2"/>
  <c r="W365" i="2" s="1"/>
  <c r="U91" i="2"/>
  <c r="W91" i="2" s="1"/>
  <c r="U208" i="2"/>
  <c r="W208" i="2" s="1"/>
  <c r="U182" i="2"/>
  <c r="W182" i="2" s="1"/>
  <c r="U317" i="2"/>
  <c r="W317" i="2" s="1"/>
  <c r="U143" i="2"/>
  <c r="W143" i="2" s="1"/>
  <c r="U224" i="2"/>
  <c r="W224" i="2" s="1"/>
  <c r="U201" i="2"/>
  <c r="W201" i="2" s="1"/>
  <c r="U301" i="2"/>
  <c r="W301" i="2" s="1"/>
  <c r="U226" i="2"/>
  <c r="W226" i="2" s="1"/>
  <c r="U263" i="2"/>
  <c r="W263" i="2" s="1"/>
  <c r="U269" i="2"/>
  <c r="W269" i="2" s="1"/>
  <c r="U67" i="2"/>
  <c r="W67" i="2" s="1"/>
  <c r="U279" i="2"/>
  <c r="W279" i="2" s="1"/>
  <c r="U78" i="2"/>
  <c r="W78" i="2" s="1"/>
  <c r="U366" i="2"/>
  <c r="W366" i="2" s="1"/>
  <c r="U225" i="2"/>
  <c r="W225" i="2" s="1"/>
  <c r="U155" i="2"/>
  <c r="W155" i="2" s="1"/>
  <c r="U336" i="2"/>
  <c r="W336" i="2" s="1"/>
  <c r="U209" i="2"/>
  <c r="W209" i="2" s="1"/>
  <c r="U65" i="2"/>
  <c r="W65" i="2" s="1"/>
  <c r="U352" i="2"/>
  <c r="W352" i="2" s="1"/>
  <c r="U332" i="2"/>
  <c r="W332" i="2" s="1"/>
  <c r="U84" i="2"/>
  <c r="W84" i="2" s="1"/>
  <c r="U329" i="2"/>
  <c r="W329" i="2" s="1"/>
  <c r="U326" i="2"/>
  <c r="W326" i="2" s="1"/>
  <c r="U42" i="2"/>
  <c r="W42" i="2" s="1"/>
  <c r="U342" i="2"/>
  <c r="W342" i="2" s="1"/>
  <c r="U259" i="2"/>
  <c r="W259" i="2" s="1"/>
  <c r="U96" i="2"/>
  <c r="W96" i="2" s="1"/>
  <c r="U117" i="2"/>
  <c r="W117" i="2" s="1"/>
  <c r="U349" i="2"/>
  <c r="W349" i="2" s="1"/>
  <c r="U230" i="2"/>
  <c r="W230" i="2" s="1"/>
  <c r="U341" i="2"/>
  <c r="W341" i="2" s="1"/>
  <c r="U297" i="2"/>
  <c r="W297" i="2" s="1"/>
  <c r="U274" i="2"/>
  <c r="W274" i="2" s="1"/>
  <c r="U267" i="2"/>
  <c r="W267" i="2" s="1"/>
  <c r="U59" i="2"/>
  <c r="W59" i="2" s="1"/>
  <c r="U354" i="2"/>
  <c r="W354" i="2" s="1"/>
  <c r="U276" i="2"/>
  <c r="W276" i="2" s="1"/>
  <c r="U109" i="2"/>
  <c r="W109" i="2" s="1"/>
  <c r="U166" i="2"/>
  <c r="W166" i="2" s="1"/>
  <c r="U156" i="2"/>
  <c r="W156" i="2" s="1"/>
  <c r="U37" i="2"/>
  <c r="U180" i="2"/>
  <c r="U124" i="2"/>
  <c r="W124" i="2" s="1"/>
  <c r="U175" i="2"/>
  <c r="W175" i="2" s="1"/>
  <c r="U132" i="2"/>
  <c r="W132" i="2" s="1"/>
  <c r="U249" i="2"/>
  <c r="W249" i="2" s="1"/>
  <c r="U285" i="2"/>
  <c r="W285" i="2" s="1"/>
  <c r="U53" i="2"/>
  <c r="U95" i="2"/>
  <c r="U85" i="2"/>
  <c r="U294" i="2"/>
  <c r="W294" i="2" s="1"/>
  <c r="U283" i="2"/>
  <c r="W283" i="2" s="1"/>
  <c r="U152" i="2"/>
  <c r="W152" i="2" s="1"/>
  <c r="U305" i="2"/>
  <c r="W305" i="2" s="1"/>
  <c r="U363" i="2"/>
  <c r="W363" i="2" s="1"/>
  <c r="U304" i="2"/>
  <c r="W304" i="2" s="1"/>
  <c r="U163" i="2"/>
  <c r="W163" i="2" s="1"/>
  <c r="U80" i="2"/>
  <c r="W80" i="2" s="1"/>
  <c r="U345" i="2"/>
  <c r="W345" i="2" s="1"/>
  <c r="U244" i="2"/>
  <c r="W244" i="2" s="1"/>
  <c r="U333" i="2"/>
  <c r="W333" i="2" s="1"/>
  <c r="U277" i="2"/>
  <c r="W277" i="2" s="1"/>
  <c r="U107" i="2"/>
  <c r="W107" i="2" s="1"/>
  <c r="U153" i="2"/>
  <c r="W153" i="2" s="1"/>
  <c r="U131" i="2"/>
  <c r="W131" i="2" s="1"/>
  <c r="U105" i="2"/>
  <c r="W105" i="2" s="1"/>
  <c r="U246" i="2"/>
  <c r="W246" i="2" s="1"/>
  <c r="U240" i="2"/>
  <c r="W240" i="2" s="1"/>
  <c r="U89" i="2"/>
  <c r="W89" i="2" s="1"/>
  <c r="U278" i="2"/>
  <c r="W278" i="2" s="1"/>
  <c r="U45" i="2"/>
  <c r="W45" i="2" s="1"/>
  <c r="U338" i="2"/>
  <c r="W338" i="2" s="1"/>
  <c r="U350" i="2"/>
  <c r="W350" i="2" s="1"/>
  <c r="U323" i="2"/>
  <c r="W323" i="2" s="1"/>
  <c r="U241" i="2"/>
  <c r="U119" i="2"/>
  <c r="W119" i="2" s="1"/>
  <c r="U373" i="2"/>
  <c r="W373" i="2" s="1"/>
  <c r="U49" i="2"/>
  <c r="W49" i="2" s="1"/>
  <c r="U353" i="2"/>
  <c r="W353" i="2" s="1"/>
  <c r="U356" i="2"/>
  <c r="U258" i="2"/>
  <c r="W258" i="2" s="1"/>
  <c r="U165" i="2"/>
  <c r="W165" i="2" s="1"/>
  <c r="U247" i="2"/>
  <c r="U192" i="2"/>
  <c r="U81" i="2"/>
  <c r="W81" i="2" s="1"/>
  <c r="U63" i="2"/>
  <c r="W63" i="2" s="1"/>
  <c r="U370" i="2"/>
  <c r="W370" i="2" s="1"/>
  <c r="U61" i="2"/>
  <c r="W61" i="2" s="1"/>
  <c r="U273" i="2"/>
  <c r="W273" i="2" s="1"/>
  <c r="U291" i="2"/>
  <c r="U106" i="2"/>
  <c r="W106" i="2" s="1"/>
  <c r="U148" i="2"/>
  <c r="W148" i="2" s="1"/>
  <c r="U228" i="2"/>
  <c r="W228" i="2" s="1"/>
  <c r="U232" i="2"/>
  <c r="W232" i="2" s="1"/>
  <c r="U376" i="2"/>
  <c r="W376" i="2" s="1"/>
  <c r="U100" i="2"/>
  <c r="W100" i="2" s="1"/>
  <c r="U90" i="2"/>
  <c r="U144" i="2"/>
  <c r="W144" i="2" s="1"/>
  <c r="U288" i="2"/>
  <c r="W288" i="2" s="1"/>
  <c r="U231" i="2"/>
  <c r="W231" i="2" s="1"/>
  <c r="U281" i="2"/>
  <c r="W281" i="2" s="1"/>
  <c r="U213" i="2"/>
  <c r="W213" i="2" s="1"/>
  <c r="U260" i="2"/>
  <c r="W260" i="2" s="1"/>
  <c r="U127" i="2"/>
  <c r="W127" i="2" s="1"/>
  <c r="U102" i="2"/>
  <c r="W102" i="2" s="1"/>
  <c r="U325" i="2"/>
  <c r="W325" i="2" s="1"/>
  <c r="U324" i="2"/>
  <c r="W324" i="2" s="1"/>
  <c r="U181" i="2"/>
  <c r="W181" i="2" s="1"/>
  <c r="U357" i="2"/>
  <c r="W357" i="2" s="1"/>
  <c r="U112" i="2"/>
  <c r="W112" i="2" s="1"/>
  <c r="U189" i="2"/>
  <c r="W189" i="2" s="1"/>
  <c r="U128" i="2"/>
  <c r="W128" i="2" s="1"/>
  <c r="U315" i="2"/>
  <c r="W315" i="2" s="1"/>
  <c r="U121" i="2"/>
  <c r="W121" i="2" s="1"/>
  <c r="U286" i="2"/>
  <c r="W286" i="2" s="1"/>
  <c r="U367" i="2"/>
  <c r="W367" i="2" s="1"/>
  <c r="U290" i="2"/>
  <c r="W290" i="2" s="1"/>
  <c r="U223" i="2"/>
  <c r="W223" i="2" s="1"/>
  <c r="U200" i="2"/>
  <c r="W200" i="2" s="1"/>
  <c r="U70" i="2"/>
  <c r="W70" i="2" s="1"/>
  <c r="U271" i="2"/>
  <c r="W271" i="2" s="1"/>
  <c r="U118" i="2"/>
  <c r="W118" i="2" s="1"/>
  <c r="U133" i="2"/>
  <c r="W133" i="2" s="1"/>
  <c r="U254" i="2"/>
  <c r="W254" i="2" s="1"/>
  <c r="U361" i="2"/>
  <c r="W361" i="2" s="1"/>
  <c r="U243" i="2"/>
  <c r="W243" i="2" s="1"/>
  <c r="U328" i="2"/>
  <c r="W328" i="2" s="1"/>
  <c r="U171" i="2"/>
  <c r="U101" i="2"/>
  <c r="U330" i="2"/>
  <c r="W330" i="2" s="1"/>
  <c r="U149" i="2"/>
  <c r="W149" i="2" s="1"/>
  <c r="U82" i="2"/>
  <c r="W82" i="2" s="1"/>
  <c r="U204" i="2"/>
  <c r="W204" i="2" s="1"/>
  <c r="U110" i="2"/>
  <c r="W110" i="2" s="1"/>
  <c r="U310" i="2"/>
  <c r="W310" i="2" s="1"/>
  <c r="U374" i="2"/>
  <c r="W374" i="2" s="1"/>
  <c r="U99" i="2"/>
  <c r="W99" i="2" s="1"/>
  <c r="U227" i="2"/>
  <c r="W227" i="2" s="1"/>
  <c r="U56" i="2"/>
  <c r="W56" i="2" s="1"/>
  <c r="U242" i="2"/>
  <c r="W242" i="2" s="1"/>
  <c r="U239" i="2"/>
  <c r="W239" i="2" s="1"/>
  <c r="U335" i="2"/>
  <c r="W335" i="2" s="1"/>
  <c r="U211" i="2"/>
  <c r="W211" i="2" s="1"/>
  <c r="U39" i="2"/>
  <c r="U215" i="2"/>
  <c r="W215" i="2" s="1"/>
  <c r="U47" i="2"/>
  <c r="W47" i="2" s="1"/>
  <c r="U360" i="2"/>
  <c r="W360" i="2" s="1"/>
  <c r="U238" i="2"/>
  <c r="W238" i="2" s="1"/>
  <c r="U340" i="2"/>
  <c r="W340" i="2" s="1"/>
  <c r="U362" i="2"/>
  <c r="U94" i="2"/>
  <c r="W94" i="2" s="1"/>
  <c r="U154" i="2"/>
  <c r="W154" i="2" s="1"/>
  <c r="U46" i="2"/>
  <c r="W46" i="2" s="1"/>
  <c r="U284" i="2"/>
  <c r="W284" i="2" s="1"/>
  <c r="U169" i="2"/>
  <c r="W169" i="2" s="1"/>
  <c r="U309" i="2"/>
  <c r="W309" i="2" s="1"/>
  <c r="U364" i="2"/>
  <c r="W364" i="2" s="1"/>
  <c r="U220" i="2"/>
  <c r="W220" i="2" s="1"/>
  <c r="U245" i="2"/>
  <c r="W245" i="2" s="1"/>
  <c r="U40" i="2"/>
  <c r="U92" i="2"/>
  <c r="W92" i="2" s="1"/>
  <c r="U147" i="2"/>
  <c r="W147" i="2" s="1"/>
  <c r="U141" i="2"/>
  <c r="U248" i="2"/>
  <c r="U203" i="2"/>
  <c r="W203" i="2" s="1"/>
  <c r="U197" i="2"/>
  <c r="U251" i="2"/>
  <c r="W251" i="2" s="1"/>
  <c r="U187" i="2"/>
  <c r="W187" i="2" s="1"/>
  <c r="U343" i="2"/>
  <c r="W343" i="2" s="1"/>
  <c r="U299" i="2"/>
  <c r="W299" i="2" s="1"/>
  <c r="U122" i="2"/>
  <c r="W122" i="2" s="1"/>
  <c r="U234" i="2"/>
  <c r="W234" i="2" s="1"/>
  <c r="U183" i="2"/>
  <c r="W183" i="2" s="1"/>
  <c r="U337" i="2"/>
  <c r="W337" i="2" s="1"/>
  <c r="P32" i="10"/>
  <c r="Q32" i="10" s="1"/>
  <c r="M33" i="4"/>
  <c r="N33" i="4" s="1"/>
  <c r="O33" i="4" s="1"/>
  <c r="M37" i="6"/>
  <c r="N37" i="6" s="1"/>
  <c r="O37" i="6" s="1"/>
  <c r="P23" i="9"/>
  <c r="Q23" i="9" s="1"/>
  <c r="M30" i="8"/>
  <c r="N30" i="8" s="1"/>
  <c r="O30" i="8" s="1"/>
  <c r="U75" i="2"/>
  <c r="W75" i="2" s="1"/>
  <c r="U252" i="2"/>
  <c r="W252" i="2" s="1"/>
  <c r="P32" i="9"/>
  <c r="Q32" i="9" s="1"/>
  <c r="M32" i="9"/>
  <c r="N32" i="9" s="1"/>
  <c r="O32" i="9" s="1"/>
  <c r="Q14" i="9"/>
  <c r="P33" i="6"/>
  <c r="Q33" i="6" s="1"/>
  <c r="M33" i="6"/>
  <c r="N33" i="6" s="1"/>
  <c r="O33" i="6" s="1"/>
  <c r="M22" i="9"/>
  <c r="N22" i="9" s="1"/>
  <c r="O22" i="9" s="1"/>
  <c r="P22" i="9"/>
  <c r="Q22" i="9" s="1"/>
  <c r="M21" i="9"/>
  <c r="N21" i="9" s="1"/>
  <c r="O21" i="9" s="1"/>
  <c r="M29" i="5"/>
  <c r="N29" i="5" s="1"/>
  <c r="O29" i="5" s="1"/>
  <c r="U287" i="2"/>
  <c r="W287" i="2" s="1"/>
  <c r="U179" i="2"/>
  <c r="W179" i="2" s="1"/>
  <c r="U134" i="2"/>
  <c r="W134" i="2" s="1"/>
  <c r="U108" i="2"/>
  <c r="W108" i="2" s="1"/>
  <c r="U71" i="2"/>
  <c r="W71" i="2" s="1"/>
  <c r="U250" i="2"/>
  <c r="W250" i="2" s="1"/>
  <c r="P24" i="9"/>
  <c r="Q24" i="9" s="1"/>
  <c r="M24" i="9"/>
  <c r="N24" i="9" s="1"/>
  <c r="O24" i="9" s="1"/>
  <c r="U111" i="2"/>
  <c r="W111" i="2" s="1"/>
  <c r="Q14" i="7"/>
  <c r="Q14" i="4"/>
  <c r="U218" i="2"/>
  <c r="W218" i="2" s="1"/>
  <c r="U302" i="2"/>
  <c r="W302" i="2" s="1"/>
  <c r="U368" i="2"/>
  <c r="W368" i="2" s="1"/>
  <c r="U296" i="2"/>
  <c r="W296" i="2" s="1"/>
  <c r="U222" i="2"/>
  <c r="W222" i="2" s="1"/>
  <c r="M33" i="7"/>
  <c r="N33" i="7" s="1"/>
  <c r="O33" i="7" s="1"/>
  <c r="P33" i="7"/>
  <c r="Q33" i="7" s="1"/>
  <c r="U355" i="2"/>
  <c r="W355" i="2" s="1"/>
  <c r="U79" i="2"/>
  <c r="W79" i="2" s="1"/>
  <c r="U74" i="2"/>
  <c r="W74" i="2" s="1"/>
  <c r="U331" i="2"/>
  <c r="W331" i="2" s="1"/>
  <c r="U216" i="2"/>
  <c r="W216" i="2" s="1"/>
  <c r="U275" i="2"/>
  <c r="W275" i="2" s="1"/>
  <c r="U298" i="2"/>
  <c r="W298" i="2" s="1"/>
  <c r="U190" i="2"/>
  <c r="W190" i="2" s="1"/>
  <c r="U282" i="2"/>
  <c r="W282" i="2" s="1"/>
  <c r="U307" i="2"/>
  <c r="W307" i="2" s="1"/>
  <c r="U318" i="2"/>
  <c r="W318" i="2" s="1"/>
  <c r="U195" i="2"/>
  <c r="W195" i="2" s="1"/>
  <c r="U162" i="2"/>
  <c r="W162" i="2" s="1"/>
  <c r="U235" i="2"/>
  <c r="W235" i="2" s="1"/>
  <c r="U292" i="2"/>
  <c r="W292" i="2" s="1"/>
  <c r="U229" i="2"/>
  <c r="W229" i="2" s="1"/>
  <c r="U43" i="2"/>
  <c r="W43" i="2" s="1"/>
  <c r="U158" i="2"/>
  <c r="W158" i="2" s="1"/>
  <c r="U321" i="2"/>
  <c r="W321" i="2" s="1"/>
  <c r="U191" i="2"/>
  <c r="W191" i="2" s="1"/>
  <c r="U139" i="2"/>
  <c r="W139" i="2" s="1"/>
  <c r="U257" i="2"/>
  <c r="W257" i="2" s="1"/>
  <c r="U130" i="2"/>
  <c r="W130" i="2" s="1"/>
  <c r="U261" i="2"/>
  <c r="W261" i="2" s="1"/>
  <c r="U161" i="2"/>
  <c r="W161" i="2" s="1"/>
  <c r="U339" i="2"/>
  <c r="W339" i="2" s="1"/>
  <c r="U185" i="2"/>
  <c r="W185" i="2" s="1"/>
  <c r="U295" i="2"/>
  <c r="W295" i="2" s="1"/>
  <c r="U202" i="2"/>
  <c r="W202" i="2" s="1"/>
  <c r="U137" i="2"/>
  <c r="W137" i="2" s="1"/>
  <c r="U255" i="2"/>
  <c r="W255" i="2" s="1"/>
  <c r="U265" i="2"/>
  <c r="W265" i="2" s="1"/>
  <c r="U347" i="2"/>
  <c r="W347" i="2" s="1"/>
  <c r="U73" i="2"/>
  <c r="W73" i="2" s="1"/>
  <c r="U126" i="2"/>
  <c r="W126" i="2" s="1"/>
  <c r="U188" i="2"/>
  <c r="W188" i="2" s="1"/>
  <c r="U103" i="2"/>
  <c r="W103" i="2" s="1"/>
  <c r="U62" i="2"/>
  <c r="W62" i="2" s="1"/>
  <c r="U83" i="2"/>
  <c r="W83" i="2" s="1"/>
  <c r="U140" i="2"/>
  <c r="W140" i="2" s="1"/>
  <c r="U38" i="2"/>
  <c r="U164" i="2"/>
  <c r="W164" i="2" s="1"/>
  <c r="U177" i="2"/>
  <c r="W177" i="2" s="1"/>
  <c r="U377" i="2"/>
  <c r="W377" i="2" s="1"/>
  <c r="U167" i="2"/>
  <c r="W167" i="2" s="1"/>
  <c r="U172" i="2"/>
  <c r="W172" i="2" s="1"/>
  <c r="U50" i="2"/>
  <c r="W50" i="2" s="1"/>
  <c r="U41" i="2"/>
  <c r="W41" i="2" s="1"/>
  <c r="U314" i="2"/>
  <c r="W314" i="2" s="1"/>
  <c r="U138" i="2"/>
  <c r="W138" i="2" s="1"/>
  <c r="U142" i="2"/>
  <c r="W142" i="2" s="1"/>
  <c r="U264" i="2"/>
  <c r="W264" i="2" s="1"/>
  <c r="U312" i="2"/>
  <c r="W312" i="2" s="1"/>
  <c r="U87" i="2"/>
  <c r="W87" i="2" s="1"/>
  <c r="U334" i="2"/>
  <c r="W334" i="2" s="1"/>
  <c r="U116" i="2"/>
  <c r="W116" i="2" s="1"/>
  <c r="U176" i="2"/>
  <c r="W176" i="2" s="1"/>
  <c r="U64" i="2"/>
  <c r="W64" i="2" s="1"/>
  <c r="U104" i="2"/>
  <c r="W104" i="2" s="1"/>
  <c r="U280" i="2"/>
  <c r="W280" i="2" s="1"/>
  <c r="U86" i="2"/>
  <c r="W86" i="2" s="1"/>
  <c r="U146" i="2"/>
  <c r="W146" i="2" s="1"/>
  <c r="U170" i="2"/>
  <c r="W170" i="2" s="1"/>
  <c r="U173" i="2"/>
  <c r="W173" i="2" s="1"/>
  <c r="U145" i="2"/>
  <c r="W145" i="2" s="1"/>
  <c r="U266" i="2"/>
  <c r="W266" i="2" s="1"/>
  <c r="U135" i="2"/>
  <c r="W135" i="2" s="1"/>
  <c r="U319" i="2"/>
  <c r="W319" i="2" s="1"/>
  <c r="U256" i="2"/>
  <c r="W256" i="2" s="1"/>
  <c r="U77" i="2"/>
  <c r="W77" i="2" s="1"/>
  <c r="U52" i="2"/>
  <c r="W52" i="2" s="1"/>
  <c r="U199" i="2"/>
  <c r="W199" i="2" s="1"/>
  <c r="U322" i="2"/>
  <c r="W322" i="2" s="1"/>
  <c r="U371" i="2"/>
  <c r="W371" i="2" s="1"/>
  <c r="U358" i="2"/>
  <c r="W358" i="2" s="1"/>
  <c r="U268" i="2"/>
  <c r="W268" i="2" s="1"/>
  <c r="U193" i="2"/>
  <c r="W193" i="2" s="1"/>
  <c r="U58" i="2"/>
  <c r="W58" i="2" s="1"/>
  <c r="U159" i="2"/>
  <c r="W159" i="2" s="1"/>
  <c r="U289" i="2"/>
  <c r="W289" i="2" s="1"/>
  <c r="U196" i="2"/>
  <c r="W196" i="2" s="1"/>
  <c r="U206" i="2"/>
  <c r="W206" i="2" s="1"/>
  <c r="U369" i="2"/>
  <c r="W369" i="2" s="1"/>
  <c r="U120" i="2"/>
  <c r="W120" i="2" s="1"/>
  <c r="U346" i="2"/>
  <c r="W346" i="2" s="1"/>
  <c r="U98" i="2"/>
  <c r="W98" i="2" s="1"/>
  <c r="U72" i="2"/>
  <c r="W72" i="2" s="1"/>
  <c r="U194" i="2"/>
  <c r="W194" i="2" s="1"/>
  <c r="U174" i="2"/>
  <c r="W174" i="2" s="1"/>
  <c r="U57" i="2"/>
  <c r="W57" i="2" s="1"/>
  <c r="U69" i="2"/>
  <c r="W69" i="2" s="1"/>
  <c r="U123" i="2"/>
  <c r="W123" i="2" s="1"/>
  <c r="U125" i="2"/>
  <c r="W125" i="2" s="1"/>
  <c r="U316" i="2"/>
  <c r="W316" i="2" s="1"/>
  <c r="S14" i="2"/>
  <c r="S21" i="2"/>
  <c r="I8" i="7"/>
  <c r="S25" i="2"/>
  <c r="S31" i="2"/>
  <c r="S40" i="2"/>
  <c r="I8" i="4"/>
  <c r="S20" i="2"/>
  <c r="S29" i="2"/>
  <c r="S32" i="2"/>
  <c r="S35" i="2"/>
  <c r="S12" i="2"/>
  <c r="I8" i="5"/>
  <c r="S23" i="2"/>
  <c r="S18" i="2"/>
  <c r="S33" i="2"/>
  <c r="S27" i="2"/>
  <c r="S16" i="2"/>
  <c r="S19" i="2"/>
  <c r="I8" i="8"/>
  <c r="S39" i="2"/>
  <c r="S38" i="2"/>
  <c r="S30" i="2"/>
  <c r="S37" i="2"/>
  <c r="S34" i="2"/>
  <c r="S28" i="2"/>
  <c r="I8" i="9"/>
  <c r="S17" i="2"/>
  <c r="S15" i="2"/>
  <c r="S22" i="2"/>
  <c r="S41" i="2"/>
  <c r="S26" i="2"/>
  <c r="S13" i="2"/>
  <c r="P14" i="10"/>
  <c r="Q14" i="10" s="1"/>
  <c r="M14" i="10"/>
  <c r="N14" i="10" s="1"/>
  <c r="O14" i="10" s="1"/>
  <c r="Q15" i="4"/>
  <c r="V16" i="2"/>
  <c r="V19" i="2"/>
  <c r="V21" i="2"/>
  <c r="V41" i="2"/>
  <c r="W90" i="2"/>
  <c r="W300" i="2"/>
  <c r="W88" i="2"/>
  <c r="M34" i="6"/>
  <c r="N34" i="6" s="1"/>
  <c r="O34" i="6" s="1"/>
  <c r="P34" i="6"/>
  <c r="Q34" i="6" s="1"/>
  <c r="M14" i="6"/>
  <c r="N14" i="6" s="1"/>
  <c r="O14" i="6" s="1"/>
  <c r="P14" i="6"/>
  <c r="Q14" i="6" s="1"/>
  <c r="W178" i="2"/>
  <c r="Q15" i="5"/>
  <c r="I7" i="7"/>
  <c r="R22" i="1"/>
  <c r="M17" i="8"/>
  <c r="N17" i="8" s="1"/>
  <c r="O17" i="8" s="1"/>
  <c r="P17" i="8"/>
  <c r="Q17" i="8" s="1"/>
  <c r="P16" i="10"/>
  <c r="Q16" i="10" s="1"/>
  <c r="M16" i="10"/>
  <c r="N16" i="10" s="1"/>
  <c r="O16" i="10" s="1"/>
  <c r="V17" i="2"/>
  <c r="V40" i="2"/>
  <c r="P18" i="10"/>
  <c r="Q18" i="10" s="1"/>
  <c r="M18" i="10"/>
  <c r="N18" i="10" s="1"/>
  <c r="O18" i="10" s="1"/>
  <c r="W180" i="2"/>
  <c r="V18" i="2"/>
  <c r="V15" i="2"/>
  <c r="P20" i="3"/>
  <c r="Q20" i="3" s="1"/>
  <c r="M20" i="3"/>
  <c r="N20" i="3" s="1"/>
  <c r="O20" i="3" s="1"/>
  <c r="W320" i="2"/>
  <c r="V28" i="2"/>
  <c r="V26" i="2"/>
  <c r="W53" i="2"/>
  <c r="V13" i="2"/>
  <c r="Q14" i="3"/>
  <c r="W362" i="2"/>
  <c r="Q16" i="7"/>
  <c r="P28" i="10"/>
  <c r="Q28" i="10" s="1"/>
  <c r="M28" i="10"/>
  <c r="N28" i="10" s="1"/>
  <c r="O28" i="10" s="1"/>
  <c r="Q15" i="9"/>
  <c r="P32" i="3"/>
  <c r="Q32" i="3" s="1"/>
  <c r="M32" i="3"/>
  <c r="N32" i="3" s="1"/>
  <c r="O32" i="3" s="1"/>
  <c r="W141" i="2"/>
  <c r="V35" i="2"/>
  <c r="M38" i="6"/>
  <c r="N38" i="6" s="1"/>
  <c r="O38" i="6" s="1"/>
  <c r="P38" i="6"/>
  <c r="Q38" i="6" s="1"/>
  <c r="I7" i="4"/>
  <c r="R19" i="1"/>
  <c r="P24" i="10"/>
  <c r="Q24" i="10" s="1"/>
  <c r="M24" i="10"/>
  <c r="N24" i="10" s="1"/>
  <c r="O24" i="10" s="1"/>
  <c r="M36" i="6"/>
  <c r="N36" i="6" s="1"/>
  <c r="O36" i="6" s="1"/>
  <c r="P36" i="6"/>
  <c r="Q36" i="6" s="1"/>
  <c r="P38" i="3"/>
  <c r="Q38" i="3" s="1"/>
  <c r="M38" i="3"/>
  <c r="N38" i="3" s="1"/>
  <c r="O38" i="3" s="1"/>
  <c r="W356" i="2"/>
  <c r="M17" i="3"/>
  <c r="N17" i="3" s="1"/>
  <c r="O17" i="3" s="1"/>
  <c r="P17" i="3"/>
  <c r="Q17" i="3" s="1"/>
  <c r="J33" i="1"/>
  <c r="K33" i="1" s="1"/>
  <c r="K18" i="1"/>
  <c r="M26" i="6"/>
  <c r="N26" i="6" s="1"/>
  <c r="O26" i="6" s="1"/>
  <c r="P26" i="6"/>
  <c r="Q26" i="6" s="1"/>
  <c r="P26" i="10"/>
  <c r="Q26" i="10" s="1"/>
  <c r="M26" i="10"/>
  <c r="N26" i="10" s="1"/>
  <c r="O26" i="10" s="1"/>
  <c r="W171" i="2"/>
  <c r="W101" i="2"/>
  <c r="V22" i="2"/>
  <c r="P20" i="10"/>
  <c r="Q20" i="10" s="1"/>
  <c r="M20" i="10"/>
  <c r="N20" i="10" s="1"/>
  <c r="O20" i="10" s="1"/>
  <c r="I7" i="5"/>
  <c r="R20" i="1"/>
  <c r="V31" i="2"/>
  <c r="V32" i="2"/>
  <c r="Q14" i="8"/>
  <c r="V36" i="2"/>
  <c r="V24" i="2"/>
  <c r="V37" i="2"/>
  <c r="M33" i="1"/>
  <c r="G9" i="1"/>
  <c r="D7" i="2" s="1"/>
  <c r="U76" i="2"/>
  <c r="W76" i="2" s="1"/>
  <c r="U129" i="2"/>
  <c r="W129" i="2" s="1"/>
  <c r="U55" i="2"/>
  <c r="W55" i="2" s="1"/>
  <c r="P33" i="1"/>
  <c r="U36" i="2"/>
  <c r="P22" i="10"/>
  <c r="Q22" i="10" s="1"/>
  <c r="M22" i="10"/>
  <c r="N22" i="10" s="1"/>
  <c r="O22" i="10" s="1"/>
  <c r="W184" i="2"/>
  <c r="V14" i="2"/>
  <c r="W247" i="2"/>
  <c r="W192" i="2"/>
  <c r="W306" i="2"/>
  <c r="W197" i="2"/>
  <c r="M30" i="6"/>
  <c r="N30" i="6" s="1"/>
  <c r="O30" i="6" s="1"/>
  <c r="P30" i="6"/>
  <c r="Q30" i="6" s="1"/>
  <c r="M19" i="8"/>
  <c r="N19" i="8" s="1"/>
  <c r="O19" i="8" s="1"/>
  <c r="P19" i="8"/>
  <c r="Q19" i="8" s="1"/>
  <c r="I7" i="8"/>
  <c r="R23" i="1"/>
  <c r="P22" i="4"/>
  <c r="Q22" i="4" s="1"/>
  <c r="M22" i="4"/>
  <c r="N22" i="4" s="1"/>
  <c r="O22" i="4" s="1"/>
  <c r="Q14" i="5"/>
  <c r="M28" i="6"/>
  <c r="N28" i="6" s="1"/>
  <c r="O28" i="6" s="1"/>
  <c r="P28" i="6"/>
  <c r="Q28" i="6" s="1"/>
  <c r="Q15" i="7"/>
  <c r="P34" i="4"/>
  <c r="Q34" i="4" s="1"/>
  <c r="M34" i="4"/>
  <c r="N34" i="4" s="1"/>
  <c r="O34" i="4" s="1"/>
  <c r="P35" i="8"/>
  <c r="Q35" i="8" s="1"/>
  <c r="M35" i="8"/>
  <c r="N35" i="8" s="1"/>
  <c r="O35" i="8" s="1"/>
  <c r="M18" i="6"/>
  <c r="N18" i="6" s="1"/>
  <c r="O18" i="6" s="1"/>
  <c r="P18" i="6"/>
  <c r="Q18" i="6" s="1"/>
  <c r="M36" i="3"/>
  <c r="N36" i="3" s="1"/>
  <c r="O36" i="3" s="1"/>
  <c r="P36" i="3"/>
  <c r="Q36" i="3" s="1"/>
  <c r="W198" i="2"/>
  <c r="V12" i="2"/>
  <c r="P33" i="3"/>
  <c r="Q33" i="3" s="1"/>
  <c r="M33" i="3"/>
  <c r="N33" i="3" s="1"/>
  <c r="O33" i="3" s="1"/>
  <c r="M15" i="8"/>
  <c r="N15" i="8" s="1"/>
  <c r="O15" i="8" s="1"/>
  <c r="P15" i="8"/>
  <c r="P26" i="4"/>
  <c r="Q26" i="4" s="1"/>
  <c r="M26" i="4"/>
  <c r="N26" i="4" s="1"/>
  <c r="O26" i="4" s="1"/>
  <c r="V27" i="2"/>
  <c r="W68" i="2"/>
  <c r="V39" i="2"/>
  <c r="V38" i="2"/>
  <c r="V29" i="2"/>
  <c r="V34" i="2"/>
  <c r="W114" i="2"/>
  <c r="I7" i="9"/>
  <c r="R24" i="1"/>
  <c r="P16" i="3"/>
  <c r="Q16" i="3" s="1"/>
  <c r="M16" i="3"/>
  <c r="N16" i="3" s="1"/>
  <c r="O16" i="3" s="1"/>
  <c r="Q33" i="1"/>
  <c r="M24" i="6"/>
  <c r="N24" i="6" s="1"/>
  <c r="O24" i="6" s="1"/>
  <c r="P24" i="6"/>
  <c r="Q24" i="6" s="1"/>
  <c r="W248" i="2"/>
  <c r="V20" i="2"/>
  <c r="W291" i="2"/>
  <c r="W241" i="2"/>
  <c r="V33" i="2"/>
  <c r="W95" i="2"/>
  <c r="W85" i="2"/>
  <c r="M31" i="3"/>
  <c r="N31" i="3" s="1"/>
  <c r="O31" i="3" s="1"/>
  <c r="P31" i="3"/>
  <c r="Q31" i="3" s="1"/>
  <c r="L18" i="1"/>
  <c r="W37" i="2" l="1"/>
  <c r="W40" i="2"/>
  <c r="W39" i="2"/>
  <c r="W38" i="2"/>
  <c r="I8" i="3"/>
  <c r="U19" i="2"/>
  <c r="W19" i="2" s="1"/>
  <c r="U16" i="2"/>
  <c r="W16" i="2" s="1"/>
  <c r="U32" i="2"/>
  <c r="W32" i="2" s="1"/>
  <c r="U28" i="2"/>
  <c r="W28" i="2" s="1"/>
  <c r="U15" i="2"/>
  <c r="W15" i="2" s="1"/>
  <c r="U23" i="2"/>
  <c r="W23" i="2" s="1"/>
  <c r="U31" i="2"/>
  <c r="W31" i="2" s="1"/>
  <c r="U25" i="2"/>
  <c r="W25" i="2" s="1"/>
  <c r="U18" i="2"/>
  <c r="W18" i="2" s="1"/>
  <c r="U35" i="2"/>
  <c r="W35" i="2" s="1"/>
  <c r="U34" i="2"/>
  <c r="W34" i="2" s="1"/>
  <c r="U29" i="2"/>
  <c r="W29" i="2" s="1"/>
  <c r="U20" i="2"/>
  <c r="W20" i="2" s="1"/>
  <c r="U14" i="2"/>
  <c r="W14" i="2" s="1"/>
  <c r="U27" i="2"/>
  <c r="W27" i="2" s="1"/>
  <c r="U33" i="2"/>
  <c r="W33" i="2" s="1"/>
  <c r="U21" i="2"/>
  <c r="W21" i="2" s="1"/>
  <c r="U17" i="2"/>
  <c r="W17" i="2" s="1"/>
  <c r="U30" i="2"/>
  <c r="W30" i="2" s="1"/>
  <c r="U13" i="2"/>
  <c r="W13" i="2" s="1"/>
  <c r="U26" i="2"/>
  <c r="W26" i="2" s="1"/>
  <c r="U22" i="2"/>
  <c r="W22" i="2" s="1"/>
  <c r="U12" i="2"/>
  <c r="W12" i="2" s="1"/>
  <c r="W36" i="2"/>
  <c r="I7" i="3"/>
  <c r="R18" i="1"/>
  <c r="R33" i="1" s="1"/>
  <c r="Q15" i="8"/>
  <c r="U24" i="2"/>
  <c r="W24" i="2" s="1"/>
  <c r="H13" i="1"/>
  <c r="L33" i="1"/>
  <c r="J13" i="1" s="1"/>
</calcChain>
</file>

<file path=xl/sharedStrings.xml><?xml version="1.0" encoding="utf-8"?>
<sst xmlns="http://schemas.openxmlformats.org/spreadsheetml/2006/main" count="1005" uniqueCount="111">
  <si>
    <t>Budget Management Sheet</t>
  </si>
  <si>
    <t>Client</t>
  </si>
  <si>
    <t>Client name</t>
  </si>
  <si>
    <t>On-pace band (±)</t>
  </si>
  <si>
    <t>Campaign Name</t>
  </si>
  <si>
    <t>Campaign name</t>
  </si>
  <si>
    <t>Alert threshold (±)</t>
  </si>
  <si>
    <t>Running the sheet</t>
  </si>
  <si>
    <t>Campaign Code</t>
  </si>
  <si>
    <t>Campaign code</t>
  </si>
  <si>
    <t>Currency</t>
  </si>
  <si>
    <t>USD</t>
  </si>
  <si>
    <t>1.  Fill in the campaign details, then a start date, end date and budget for each channel you're running. Leave unused rows blank.</t>
  </si>
  <si>
    <t>Prepared By</t>
  </si>
  <si>
    <t>Name</t>
  </si>
  <si>
    <t>Data up to</t>
  </si>
  <si>
    <t>Summary</t>
  </si>
  <si>
    <t>2.  Each day, export spend from each platform and paste it into that channel's tab: Date, Campaign, Line item, Spend. Use Paste Values (Ctrl+Shift+V, or Cmd+Shift+V on Mac) so the tab keeps its formatting.</t>
  </si>
  <si>
    <t>Total budget</t>
  </si>
  <si>
    <t>Spend to date</t>
  </si>
  <si>
    <t>Remaining</t>
  </si>
  <si>
    <t>Overall pacing</t>
  </si>
  <si>
    <t>Status</t>
  </si>
  <si>
    <t>3.  Pacing = budget spent % ÷ flight elapsed %, assuming even daily spend. 100% is on pace, 120% is 20% over, 80% is 20% under. Each channel is measured to the latest date in its own data, not today's date.</t>
  </si>
  <si>
    <t>Channel pacing</t>
  </si>
  <si>
    <t>Channel
(must match tab name)</t>
  </si>
  <si>
    <t>Start Date</t>
  </si>
  <si>
    <t>End Date</t>
  </si>
  <si>
    <t>Planned Daily</t>
  </si>
  <si>
    <t>Spend to Date</t>
  </si>
  <si>
    <t>Expected to Date</t>
  </si>
  <si>
    <t>Pacing</t>
  </si>
  <si>
    <t>Flight Elapsed</t>
  </si>
  <si>
    <t>Budget Spent</t>
  </si>
  <si>
    <t>Days Left</t>
  </si>
  <si>
    <t>Required Daily</t>
  </si>
  <si>
    <t>Projected Spend</t>
  </si>
  <si>
    <t>Meta</t>
  </si>
  <si>
    <t>Adding a channel</t>
  </si>
  <si>
    <t>TikTok</t>
  </si>
  <si>
    <t>5.  Right-click the Other tab (or any empty channel tab) and choose Move or Copy, tick Create a copy, then OK.</t>
  </si>
  <si>
    <t>LinkedIn</t>
  </si>
  <si>
    <t>6.  Rename the new tab, e.g. Reddit, and type the same name into cell D6 on that tab.</t>
  </si>
  <si>
    <t>Google Ads</t>
  </si>
  <si>
    <t>Microsoft Ads</t>
  </si>
  <si>
    <t>7.  Type the same name into an empty row of the Channel column on this sheet and add its dates and budget. Pacing, totals and the Daily tab pick it up automatically.</t>
  </si>
  <si>
    <t>Programmatic</t>
  </si>
  <si>
    <t>Other</t>
  </si>
  <si>
    <t>8.  Names must match exactly, spaces included. Status shows Tab not found if the name here doesn't match a tab.</t>
  </si>
  <si>
    <t>9.  There are 15 channel rows. For more, insert a row in the middle of the list and copy the row above into it. The Daily tab shows the first 15.</t>
  </si>
  <si>
    <t>Removing a channel</t>
  </si>
  <si>
    <t>10.  Clear its name, dates and budget from the Channel column, then delete the tab if you want.</t>
  </si>
  <si>
    <t>Total</t>
  </si>
  <si>
    <t>Key</t>
  </si>
  <si>
    <t>Type here</t>
  </si>
  <si>
    <t>Calculated, leave as is</t>
  </si>
  <si>
    <t>On pace</t>
  </si>
  <si>
    <t>Within the on-pace band</t>
  </si>
  <si>
    <t>Slightly over / under</t>
  </si>
  <si>
    <t>Outside the band, inside the alert threshold</t>
  </si>
  <si>
    <t>Overpacing / Underpacing</t>
  </si>
  <si>
    <t>Beyond the alert threshold, or a tab name that doesn't match</t>
  </si>
  <si>
    <t>Daily Spend</t>
  </si>
  <si>
    <t>Daily spend by channel</t>
  </si>
  <si>
    <t>Nothing to enter here. Planned spend assumes even daily spend within each channel's flight; cumulative pacing runs to the latest data date.</t>
  </si>
  <si>
    <t>Date</t>
  </si>
  <si>
    <t>Total Spend</t>
  </si>
  <si>
    <t>Planned Spend</t>
  </si>
  <si>
    <t>Cumulative Spend</t>
  </si>
  <si>
    <t>Cumulative Planned</t>
  </si>
  <si>
    <t>Cumulative Pacing</t>
  </si>
  <si>
    <t>Channel</t>
  </si>
  <si>
    <t>Rows Pasted</t>
  </si>
  <si>
    <t>In-Flight Spend</t>
  </si>
  <si>
    <t>Spend Pasted</t>
  </si>
  <si>
    <t>Rows to Check</t>
  </si>
  <si>
    <t>Budget</t>
  </si>
  <si>
    <t>Rows Outside Flight</t>
  </si>
  <si>
    <t>Daily Data</t>
  </si>
  <si>
    <t>Line Item Pacing (optional)</t>
  </si>
  <si>
    <t>Paste Values into columns C to F from row 14. One row per line item per day.</t>
  </si>
  <si>
    <t>Names must match column E exactly. Dates default to the channel flight; type over them if different.</t>
  </si>
  <si>
    <t>Campaign
(Campaign name)</t>
  </si>
  <si>
    <t>Line Item
(Ad set name)</t>
  </si>
  <si>
    <t>Spend</t>
  </si>
  <si>
    <t>Line Item</t>
  </si>
  <si>
    <t>Prospecting | Broad</t>
  </si>
  <si>
    <t>Retargeting | Site visitors</t>
  </si>
  <si>
    <t>Line Item
(Ad group name)</t>
  </si>
  <si>
    <t>Prospecting | Interests</t>
  </si>
  <si>
    <t>Prospecting | Lookalike</t>
  </si>
  <si>
    <t>Campaign
(Campaign group name)</t>
  </si>
  <si>
    <t>Line Item
(Campaign name)</t>
  </si>
  <si>
    <t>Lead gen | Job titles</t>
  </si>
  <si>
    <t>Lead gen | Company list</t>
  </si>
  <si>
    <t>Line Item
(Ad squad name)</t>
  </si>
  <si>
    <t>Campaign
(Account name)</t>
  </si>
  <si>
    <t>Account name</t>
  </si>
  <si>
    <t>Brand</t>
  </si>
  <si>
    <t>Generic</t>
  </si>
  <si>
    <t>Competitor</t>
  </si>
  <si>
    <t>Campaign
(Insertion order)</t>
  </si>
  <si>
    <t>Line Item
(Line item)</t>
  </si>
  <si>
    <t>Insertion order</t>
  </si>
  <si>
    <t>Open exchange | Display</t>
  </si>
  <si>
    <t>PMP | Video</t>
  </si>
  <si>
    <t>CTV</t>
  </si>
  <si>
    <t>Line Item
(Line item name)</t>
  </si>
  <si>
    <t xml:space="preserve">How to use </t>
  </si>
  <si>
    <t>Pinterest</t>
  </si>
  <si>
    <t>4.  Optional: list line items and their budgets on a channel tab to pace them individually. The Daily tab shows spend by day for every channel.
5. Update client details, currency, and pacing alerts using the cells at the top of this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</si>
</sst>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mmm\ yyyy"/>
    <numFmt numFmtId="165" formatCode="#,##0;\(#,##0\);\-"/>
    <numFmt numFmtId="166" formatCode="#,##0.00;\(#,##0.00\);\-"/>
  </numFmts>
  <fonts count="14" x14ac:knownFonts="1">
    <font>
      <sz val="11"/>
      <color theme="1"/>
      <name val="Calibri"/>
      <family val="2"/>
      <charset val="1"/>
    </font>
    <font>
      <b/>
      <sz val="16"/>
      <color rgb="FF171718"/>
      <name val="Aptos Narrow"/>
      <charset val="1"/>
    </font>
    <font>
      <sz val="11"/>
      <color rgb="FF171718"/>
      <name val="Aptos Narrow"/>
      <charset val="1"/>
    </font>
    <font>
      <b/>
      <sz val="11"/>
      <color rgb="FF171718"/>
      <name val="Aptos Narrow"/>
      <charset val="1"/>
    </font>
    <font>
      <b/>
      <sz val="10"/>
      <color rgb="FF3D5A80"/>
      <name val="Aptos Narrow"/>
      <charset val="1"/>
    </font>
    <font>
      <sz val="10"/>
      <color rgb="FF171718"/>
      <name val="Aptos Narrow"/>
      <charset val="1"/>
    </font>
    <font>
      <b/>
      <sz val="14"/>
      <color rgb="FF171718"/>
      <name val="Aptos Narrow"/>
      <charset val="1"/>
    </font>
    <font>
      <b/>
      <sz val="8"/>
      <color rgb="FF171718"/>
      <name val="Arial"/>
      <charset val="1"/>
    </font>
    <font>
      <b/>
      <sz val="11"/>
      <color rgb="FFFFFFFF"/>
      <name val="Aptos Narrow"/>
      <charset val="1"/>
    </font>
    <font>
      <b/>
      <sz val="8"/>
      <color rgb="FF293241"/>
      <name val="Arial"/>
      <charset val="1"/>
    </font>
    <font>
      <b/>
      <sz val="8"/>
      <color rgb="FFA8401F"/>
      <name val="Arial"/>
      <charset val="1"/>
    </font>
    <font>
      <b/>
      <sz val="8"/>
      <color rgb="FFFFFFFF"/>
      <name val="Arial"/>
      <charset val="1"/>
    </font>
    <font>
      <i/>
      <sz val="10"/>
      <color rgb="FF171718"/>
      <name val="Aptos Narrow"/>
      <charset val="1"/>
    </font>
    <font>
      <b/>
      <sz val="10"/>
      <color rgb="FFA8401F"/>
      <name val="Aptos Narrow"/>
      <charset val="1"/>
    </font>
  </fonts>
  <fills count="8">
    <fill>
      <patternFill patternType="none"/>
    </fill>
    <fill>
      <patternFill patternType="gray125"/>
    </fill>
    <fill>
      <patternFill patternType="solid">
        <fgColor rgb="FFFAFAF8"/>
        <bgColor rgb="FFFFFFFF"/>
      </patternFill>
    </fill>
    <fill>
      <patternFill patternType="solid">
        <fgColor rgb="FFF2F2F1"/>
        <bgColor rgb="FFFAFAF8"/>
      </patternFill>
    </fill>
    <fill>
      <patternFill patternType="solid">
        <fgColor rgb="FF3D5A80"/>
        <bgColor rgb="FF333399"/>
      </patternFill>
    </fill>
    <fill>
      <patternFill patternType="solid">
        <fgColor rgb="FFDCEAF3"/>
        <bgColor rgb="FFF2F2F1"/>
      </patternFill>
    </fill>
    <fill>
      <patternFill patternType="solid">
        <fgColor rgb="FFFBE3DB"/>
        <bgColor rgb="FFF2F2F1"/>
      </patternFill>
    </fill>
    <fill>
      <patternFill patternType="solid">
        <fgColor rgb="FFEE6C4D"/>
        <bgColor rgb="FFFF6600"/>
      </patternFill>
    </fill>
  </fills>
  <borders count="5">
    <border>
      <left/>
      <right/>
      <top/>
      <bottom/>
      <diagonal/>
    </border>
    <border>
      <left style="thin">
        <color auto="1"/>
      </left>
      <right style="thin">
        <color auto="1"/>
      </right>
      <top style="thin">
        <color auto="1"/>
      </top>
      <bottom style="thin">
        <color auto="1"/>
      </bottom>
      <diagonal/>
    </border>
    <border>
      <left style="medium">
        <color rgb="FF3D5A80"/>
      </left>
      <right style="medium">
        <color rgb="FF3D5A80"/>
      </right>
      <top style="medium">
        <color rgb="FF3D5A80"/>
      </top>
      <bottom/>
      <diagonal/>
    </border>
    <border>
      <left style="medium">
        <color rgb="FF3D5A80"/>
      </left>
      <right style="medium">
        <color rgb="FF3D5A80"/>
      </right>
      <top/>
      <bottom/>
      <diagonal/>
    </border>
    <border>
      <left style="medium">
        <color rgb="FF3D5A80"/>
      </left>
      <right style="medium">
        <color rgb="FF3D5A80"/>
      </right>
      <top/>
      <bottom style="medium">
        <color rgb="FF3D5A80"/>
      </bottom>
      <diagonal/>
    </border>
  </borders>
  <cellStyleXfs count="1">
    <xf numFmtId="0" fontId="0" fillId="0" borderId="0"/>
  </cellStyleXfs>
  <cellXfs count="56">
    <xf numFmtId="0" fontId="0" fillId="0" borderId="0" xfId="0"/>
    <xf numFmtId="0" fontId="3" fillId="3" borderId="1" xfId="0" applyFont="1" applyFill="1" applyBorder="1" applyAlignment="1">
      <alignment horizontal="center"/>
    </xf>
    <xf numFmtId="9" fontId="3"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0" fontId="2" fillId="3" borderId="1" xfId="0" applyFont="1" applyFill="1" applyBorder="1" applyAlignment="1">
      <alignment horizontal="center"/>
    </xf>
    <xf numFmtId="0" fontId="5" fillId="0" borderId="4" xfId="0" applyFont="1" applyBorder="1" applyAlignment="1">
      <alignment vertical="top" wrapText="1" indent="1"/>
    </xf>
    <xf numFmtId="49" fontId="1" fillId="3" borderId="1" xfId="0" applyNumberFormat="1" applyFont="1" applyFill="1" applyBorder="1" applyAlignment="1">
      <alignment horizontal="center" vertical="center"/>
    </xf>
    <xf numFmtId="9" fontId="1" fillId="3" borderId="1" xfId="0" applyNumberFormat="1" applyFont="1" applyFill="1" applyBorder="1" applyAlignment="1">
      <alignment horizontal="center" vertical="center"/>
    </xf>
    <xf numFmtId="165" fontId="1" fillId="3"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164" fontId="2" fillId="3" borderId="1" xfId="0" applyNumberFormat="1" applyFont="1" applyFill="1" applyBorder="1" applyAlignment="1">
      <alignment horizontal="center"/>
    </xf>
    <xf numFmtId="0" fontId="5" fillId="0" borderId="3" xfId="0" applyFont="1" applyBorder="1" applyAlignment="1">
      <alignment vertical="top" wrapText="1" indent="1"/>
    </xf>
    <xf numFmtId="9" fontId="2" fillId="0" borderId="1" xfId="0" applyNumberFormat="1" applyFont="1" applyBorder="1" applyAlignment="1">
      <alignment horizontal="center"/>
    </xf>
    <xf numFmtId="0" fontId="2" fillId="0" borderId="1" xfId="0" applyFont="1" applyBorder="1" applyAlignment="1">
      <alignment horizontal="center"/>
    </xf>
    <xf numFmtId="0" fontId="1" fillId="0" borderId="0" xfId="0" applyFont="1" applyBorder="1" applyAlignment="1">
      <alignment horizontal="right" vertical="center"/>
    </xf>
    <xf numFmtId="0" fontId="2" fillId="2" borderId="1" xfId="0" applyFont="1" applyFill="1" applyBorder="1"/>
    <xf numFmtId="0" fontId="3" fillId="0" borderId="2" xfId="0" applyFont="1" applyBorder="1" applyAlignment="1">
      <alignment vertical="center" wrapText="1" indent="1"/>
    </xf>
    <xf numFmtId="0" fontId="4" fillId="0" borderId="3" xfId="0" applyFont="1" applyBorder="1" applyAlignment="1">
      <alignment vertical="center" wrapText="1" indent="1"/>
    </xf>
    <xf numFmtId="164" fontId="2" fillId="3" borderId="1" xfId="0" applyNumberFormat="1" applyFont="1" applyFill="1" applyBorder="1" applyAlignment="1">
      <alignment horizontal="center"/>
    </xf>
    <xf numFmtId="0" fontId="6" fillId="0" borderId="0" xfId="0" applyFont="1"/>
    <xf numFmtId="0" fontId="7" fillId="2" borderId="1" xfId="0" applyFont="1" applyFill="1" applyBorder="1" applyAlignment="1">
      <alignment horizontal="center" vertical="center" wrapText="1"/>
    </xf>
    <xf numFmtId="165" fontId="1" fillId="3" borderId="1" xfId="0" applyNumberFormat="1" applyFont="1" applyFill="1" applyBorder="1" applyAlignment="1">
      <alignment horizontal="center" vertical="center"/>
    </xf>
    <xf numFmtId="0" fontId="3" fillId="0" borderId="1" xfId="0" applyFont="1" applyBorder="1"/>
    <xf numFmtId="164" fontId="2" fillId="0" borderId="1" xfId="0" applyNumberFormat="1" applyFont="1" applyBorder="1" applyAlignment="1">
      <alignment horizontal="center"/>
    </xf>
    <xf numFmtId="165" fontId="2" fillId="0" borderId="1" xfId="0" applyNumberFormat="1" applyFont="1" applyBorder="1"/>
    <xf numFmtId="165" fontId="2" fillId="3" borderId="1" xfId="0" applyNumberFormat="1" applyFont="1" applyFill="1" applyBorder="1"/>
    <xf numFmtId="9" fontId="3" fillId="3" borderId="1" xfId="0" applyNumberFormat="1" applyFont="1" applyFill="1" applyBorder="1" applyAlignment="1">
      <alignment horizontal="center"/>
    </xf>
    <xf numFmtId="0" fontId="2" fillId="3" borderId="1" xfId="0" applyFont="1" applyFill="1" applyBorder="1" applyAlignment="1">
      <alignment horizontal="center"/>
    </xf>
    <xf numFmtId="9" fontId="2" fillId="3" borderId="1" xfId="0" applyNumberFormat="1" applyFont="1" applyFill="1" applyBorder="1" applyAlignment="1">
      <alignment horizontal="center"/>
    </xf>
    <xf numFmtId="0" fontId="2" fillId="3" borderId="1" xfId="0" applyFont="1" applyFill="1" applyBorder="1" applyAlignment="1">
      <alignment horizontal="center"/>
    </xf>
    <xf numFmtId="165" fontId="8" fillId="4" borderId="1" xfId="0" applyNumberFormat="1" applyFont="1" applyFill="1" applyBorder="1"/>
    <xf numFmtId="164" fontId="8" fillId="4" borderId="1" xfId="0" applyNumberFormat="1" applyFont="1" applyFill="1" applyBorder="1" applyAlignment="1">
      <alignment horizontal="center"/>
    </xf>
    <xf numFmtId="9" fontId="8" fillId="4" borderId="1" xfId="0" applyNumberFormat="1" applyFont="1" applyFill="1" applyBorder="1" applyAlignment="1">
      <alignment horizontal="center"/>
    </xf>
    <xf numFmtId="165" fontId="8" fillId="4" borderId="1" xfId="0" applyNumberFormat="1" applyFont="1" applyFill="1" applyBorder="1" applyAlignment="1">
      <alignment horizontal="center"/>
    </xf>
    <xf numFmtId="1" fontId="8" fillId="4" borderId="1" xfId="0" applyNumberFormat="1" applyFont="1" applyFill="1" applyBorder="1" applyAlignment="1">
      <alignment horizontal="center"/>
    </xf>
    <xf numFmtId="0" fontId="7" fillId="0" borderId="1" xfId="0" applyFont="1" applyBorder="1" applyAlignment="1">
      <alignment horizontal="center"/>
    </xf>
    <xf numFmtId="0" fontId="5" fillId="0" borderId="0" xfId="0" applyFont="1" applyAlignment="1">
      <alignment indent="1"/>
    </xf>
    <xf numFmtId="0" fontId="7" fillId="3" borderId="1" xfId="0" applyFont="1" applyFill="1" applyBorder="1" applyAlignment="1">
      <alignment horizontal="center"/>
    </xf>
    <xf numFmtId="0" fontId="9" fillId="5" borderId="1" xfId="0" applyFont="1" applyFill="1" applyBorder="1" applyAlignment="1">
      <alignment horizontal="center"/>
    </xf>
    <xf numFmtId="0" fontId="10" fillId="6" borderId="1" xfId="0" applyFont="1" applyFill="1" applyBorder="1" applyAlignment="1">
      <alignment horizontal="center"/>
    </xf>
    <xf numFmtId="0" fontId="11" fillId="7" borderId="1" xfId="0" applyFont="1" applyFill="1" applyBorder="1" applyAlignment="1">
      <alignment horizontal="center"/>
    </xf>
    <xf numFmtId="0" fontId="12" fillId="0" borderId="0" xfId="0" applyFont="1"/>
    <xf numFmtId="164" fontId="3" fillId="0" borderId="0" xfId="0" applyNumberFormat="1" applyFont="1" applyAlignment="1">
      <alignment horizontal="center"/>
    </xf>
    <xf numFmtId="165" fontId="2" fillId="0" borderId="0" xfId="0" applyNumberFormat="1" applyFont="1"/>
    <xf numFmtId="165" fontId="3" fillId="0" borderId="0" xfId="0" applyNumberFormat="1" applyFont="1"/>
    <xf numFmtId="9" fontId="3" fillId="0" borderId="0" xfId="0" applyNumberFormat="1" applyFont="1" applyAlignment="1">
      <alignment horizontal="center"/>
    </xf>
    <xf numFmtId="164" fontId="2" fillId="0" borderId="0" xfId="0" applyNumberFormat="1" applyFont="1"/>
    <xf numFmtId="0" fontId="2" fillId="0" borderId="0" xfId="0" applyFont="1"/>
    <xf numFmtId="4" fontId="2" fillId="0" borderId="0" xfId="0" applyNumberFormat="1" applyFont="1"/>
    <xf numFmtId="0" fontId="3" fillId="0" borderId="1" xfId="0" applyFont="1" applyBorder="1" applyAlignment="1">
      <alignment horizontal="center"/>
    </xf>
    <xf numFmtId="3"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165" fontId="2" fillId="3" borderId="1" xfId="0" applyNumberFormat="1" applyFont="1" applyFill="1" applyBorder="1" applyAlignment="1">
      <alignment horizontal="center"/>
    </xf>
    <xf numFmtId="164" fontId="2" fillId="0" borderId="0" xfId="0" applyNumberFormat="1" applyFont="1" applyAlignment="1">
      <alignment horizontal="center"/>
    </xf>
    <xf numFmtId="0" fontId="2" fillId="0" borderId="1" xfId="0" applyFont="1" applyBorder="1"/>
    <xf numFmtId="0" fontId="13" fillId="0" borderId="0" xfId="0" applyFont="1" applyBorder="1"/>
  </cellXfs>
  <cellStyles count="1">
    <cellStyle name="Normal" xfId="0" builtinId="0"/>
  </cellStyles>
  <dxfs count="93">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ill>
        <patternFill>
          <bgColor rgb="FFFBE3DB"/>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border diagonalUp="0" diagonalDown="0">
        <left style="thin">
          <color auto="1"/>
        </left>
        <right style="thin">
          <color auto="1"/>
        </right>
        <top style="thin">
          <color auto="1"/>
        </top>
        <bottom style="thin">
          <color auto="1"/>
        </bottom>
      </border>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
      <font>
        <b/>
        <color rgb="FF293241"/>
      </font>
      <fill>
        <patternFill>
          <bgColor rgb="FFDCEAF3"/>
        </patternFill>
      </fill>
    </dxf>
    <dxf>
      <font>
        <b/>
        <color rgb="FFA8401F"/>
      </font>
      <fill>
        <patternFill>
          <bgColor rgb="FFFBE3DB"/>
        </patternFill>
      </fill>
    </dxf>
    <dxf>
      <font>
        <b/>
        <color rgb="FFFFFFFF"/>
      </font>
      <fill>
        <patternFill>
          <bgColor rgb="FFEE6C4D"/>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AFAF8"/>
      <rgbColor rgb="FFDCEAF3"/>
      <rgbColor rgb="FF660066"/>
      <rgbColor rgb="FFEE6C4D"/>
      <rgbColor rgb="FF0066CC"/>
      <rgbColor rgb="FFCCCCFF"/>
      <rgbColor rgb="FF000080"/>
      <rgbColor rgb="FFFF00FF"/>
      <rgbColor rgb="FFFFFF00"/>
      <rgbColor rgb="FF00FFFF"/>
      <rgbColor rgb="FF800080"/>
      <rgbColor rgb="FF800000"/>
      <rgbColor rgb="FF008080"/>
      <rgbColor rgb="FF0000FF"/>
      <rgbColor rgb="FF00CCFF"/>
      <rgbColor rgb="FFF2F2F1"/>
      <rgbColor rgb="FFCCFFCC"/>
      <rgbColor rgb="FFFFFF99"/>
      <rgbColor rgb="FF99CCFF"/>
      <rgbColor rgb="FFFF99CC"/>
      <rgbColor rgb="FFCC99FF"/>
      <rgbColor rgb="FFFBE3DB"/>
      <rgbColor rgb="FF3366FF"/>
      <rgbColor rgb="FF33CCCC"/>
      <rgbColor rgb="FF99CC00"/>
      <rgbColor rgb="FFFFCC00"/>
      <rgbColor rgb="FFFF9900"/>
      <rgbColor rgb="FFFF6600"/>
      <rgbColor rgb="FF3D5A80"/>
      <rgbColor rgb="FF969696"/>
      <rgbColor rgb="FF003366"/>
      <rgbColor rgb="FF339966"/>
      <rgbColor rgb="FF171718"/>
      <rgbColor rgb="FF333300"/>
      <rgbColor rgb="FFA8401F"/>
      <rgbColor rgb="FF993366"/>
      <rgbColor rgb="FF333399"/>
      <rgbColor rgb="FF29324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4</xdr:col>
      <xdr:colOff>30600</xdr:colOff>
      <xdr:row>2</xdr:row>
      <xdr:rowOff>47520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4</xdr:col>
      <xdr:colOff>664920</xdr:colOff>
      <xdr:row>2</xdr:row>
      <xdr:rowOff>47520</xdr:rowOff>
    </xdr:to>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3" name="Image 1" descr="Picture">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4" name="Image 1"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5" name="Image 1" descr="Picture">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6" name="Image 1" descr="Picture">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7" name="Image 1" descr="Picture">
          <a:extLst>
            <a:ext uri="{FF2B5EF4-FFF2-40B4-BE49-F238E27FC236}">
              <a16:creationId xmlns:a16="http://schemas.microsoft.com/office/drawing/2014/main" id="{00000000-0008-0000-0700-000007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8" name="Image 1" descr="Picture">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1616760</xdr:colOff>
      <xdr:row>2</xdr:row>
      <xdr:rowOff>47520</xdr:rowOff>
    </xdr:to>
    <xdr:pic>
      <xdr:nvPicPr>
        <xdr:cNvPr id="9" name="Image 1" descr="Picture">
          <a:extLst>
            <a:ext uri="{FF2B5EF4-FFF2-40B4-BE49-F238E27FC236}">
              <a16:creationId xmlns:a16="http://schemas.microsoft.com/office/drawing/2014/main" id="{00000000-0008-0000-0900-000009000000}"/>
            </a:ext>
          </a:extLst>
        </xdr:cNvPr>
        <xdr:cNvPicPr/>
      </xdr:nvPicPr>
      <xdr:blipFill>
        <a:blip xmlns:r="http://schemas.openxmlformats.org/officeDocument/2006/relationships" r:embed="rId1"/>
        <a:stretch/>
      </xdr:blipFill>
      <xdr:spPr>
        <a:xfrm>
          <a:off x="302760" y="0"/>
          <a:ext cx="2533320" cy="4284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2:U40"/>
  <sheetViews>
    <sheetView showGridLines="0" tabSelected="1" zoomScaleNormal="100" workbookViewId="0">
      <selection activeCell="O9" sqref="O9"/>
    </sheetView>
  </sheetViews>
  <sheetFormatPr defaultColWidth="8.6328125" defaultRowHeight="14.5" x14ac:dyDescent="0.35"/>
  <cols>
    <col min="1" max="1" width="1.26953125" customWidth="1"/>
    <col min="2" max="2" width="3" customWidth="1"/>
    <col min="3" max="3" width="22" customWidth="1"/>
    <col min="4" max="5" width="13.453125" customWidth="1"/>
    <col min="6" max="6" width="17" customWidth="1"/>
    <col min="7" max="7" width="12" customWidth="1"/>
    <col min="8" max="8" width="13" customWidth="1"/>
    <col min="9" max="9" width="13.453125" customWidth="1"/>
    <col min="10" max="10" width="13" customWidth="1"/>
    <col min="11" max="11" width="10" customWidth="1"/>
    <col min="12" max="12" width="15" customWidth="1"/>
    <col min="13" max="14" width="10" customWidth="1"/>
    <col min="15" max="15" width="13" customWidth="1"/>
    <col min="16" max="16" width="9" customWidth="1"/>
    <col min="17" max="17" width="12" customWidth="1"/>
    <col min="18" max="18" width="13" customWidth="1"/>
    <col min="19" max="20" width="3" customWidth="1"/>
    <col min="21" max="21" width="105" customWidth="1"/>
  </cols>
  <sheetData>
    <row r="2" spans="3:21" x14ac:dyDescent="0.35">
      <c r="L2" s="14" t="s">
        <v>0</v>
      </c>
      <c r="M2" s="14"/>
      <c r="N2" s="14"/>
      <c r="O2" s="14"/>
      <c r="P2" s="14"/>
      <c r="Q2" s="14"/>
      <c r="R2" s="14"/>
    </row>
    <row r="3" spans="3:21" x14ac:dyDescent="0.35">
      <c r="L3" s="14"/>
      <c r="M3" s="14"/>
      <c r="N3" s="14"/>
      <c r="O3" s="14"/>
      <c r="P3" s="14"/>
      <c r="Q3" s="14"/>
      <c r="R3" s="14"/>
    </row>
    <row r="6" spans="3:21" x14ac:dyDescent="0.35">
      <c r="C6" s="15" t="s">
        <v>1</v>
      </c>
      <c r="D6" s="13" t="s">
        <v>2</v>
      </c>
      <c r="E6" s="13"/>
      <c r="F6" s="15" t="s">
        <v>3</v>
      </c>
      <c r="G6" s="12">
        <v>0.1</v>
      </c>
      <c r="H6" s="12"/>
      <c r="U6" s="16" t="s">
        <v>108</v>
      </c>
    </row>
    <row r="7" spans="3:21" x14ac:dyDescent="0.35">
      <c r="C7" s="15" t="s">
        <v>4</v>
      </c>
      <c r="D7" s="13" t="s">
        <v>5</v>
      </c>
      <c r="E7" s="13"/>
      <c r="F7" s="15" t="s">
        <v>6</v>
      </c>
      <c r="G7" s="12">
        <v>0.2</v>
      </c>
      <c r="H7" s="12"/>
      <c r="U7" s="17" t="s">
        <v>7</v>
      </c>
    </row>
    <row r="8" spans="3:21" ht="15" customHeight="1" x14ac:dyDescent="0.35">
      <c r="C8" s="15" t="s">
        <v>8</v>
      </c>
      <c r="D8" s="13" t="s">
        <v>9</v>
      </c>
      <c r="E8" s="13"/>
      <c r="F8" s="15" t="s">
        <v>10</v>
      </c>
      <c r="G8" s="13" t="s">
        <v>11</v>
      </c>
      <c r="H8" s="13"/>
      <c r="U8" s="11" t="s">
        <v>12</v>
      </c>
    </row>
    <row r="9" spans="3:21" x14ac:dyDescent="0.35">
      <c r="C9" s="15" t="s">
        <v>13</v>
      </c>
      <c r="D9" s="13" t="s">
        <v>14</v>
      </c>
      <c r="E9" s="13"/>
      <c r="F9" s="15" t="s">
        <v>15</v>
      </c>
      <c r="G9" s="10">
        <f ca="1">I33</f>
        <v>46289</v>
      </c>
      <c r="H9" s="10"/>
      <c r="U9" s="11"/>
    </row>
    <row r="10" spans="3:21" x14ac:dyDescent="0.35">
      <c r="U10" s="11"/>
    </row>
    <row r="11" spans="3:21" ht="17.399999999999999" customHeight="1" x14ac:dyDescent="0.45">
      <c r="C11" s="19" t="s">
        <v>16</v>
      </c>
      <c r="U11" s="11" t="s">
        <v>17</v>
      </c>
    </row>
    <row r="12" spans="3:21" ht="18" customHeight="1" x14ac:dyDescent="0.35">
      <c r="C12" s="20" t="s">
        <v>18</v>
      </c>
      <c r="D12" s="9" t="s">
        <v>19</v>
      </c>
      <c r="E12" s="9"/>
      <c r="F12" s="9" t="s">
        <v>20</v>
      </c>
      <c r="G12" s="9"/>
      <c r="H12" s="9" t="s">
        <v>21</v>
      </c>
      <c r="I12" s="9"/>
      <c r="J12" s="9" t="s">
        <v>22</v>
      </c>
      <c r="K12" s="9"/>
      <c r="L12" s="9"/>
      <c r="U12" s="11"/>
    </row>
    <row r="13" spans="3:21" ht="30" customHeight="1" x14ac:dyDescent="0.35">
      <c r="C13" s="21">
        <f>F33</f>
        <v>210000</v>
      </c>
      <c r="D13" s="8">
        <f ca="1">H33</f>
        <v>169739.05000000002</v>
      </c>
      <c r="E13" s="8"/>
      <c r="F13" s="8">
        <f ca="1">O33</f>
        <v>40260.94999999999</v>
      </c>
      <c r="G13" s="8"/>
      <c r="H13" s="7">
        <f ca="1">K33</f>
        <v>1.0103514880952382</v>
      </c>
      <c r="I13" s="7"/>
      <c r="J13" s="6" t="str">
        <f ca="1">L33</f>
        <v>On pace</v>
      </c>
      <c r="K13" s="6"/>
      <c r="L13" s="6"/>
      <c r="U13" s="11" t="s">
        <v>23</v>
      </c>
    </row>
    <row r="14" spans="3:21" x14ac:dyDescent="0.35">
      <c r="U14" s="11"/>
    </row>
    <row r="15" spans="3:21" ht="17.399999999999999" customHeight="1" x14ac:dyDescent="0.45">
      <c r="C15" s="19" t="s">
        <v>24</v>
      </c>
      <c r="U15" s="11" t="s">
        <v>110</v>
      </c>
    </row>
    <row r="16" spans="3:21" ht="6" customHeight="1" x14ac:dyDescent="0.35">
      <c r="U16" s="11"/>
    </row>
    <row r="17" spans="3:21" ht="30" customHeight="1" x14ac:dyDescent="0.35">
      <c r="C17" s="20" t="s">
        <v>25</v>
      </c>
      <c r="D17" s="20" t="s">
        <v>26</v>
      </c>
      <c r="E17" s="20" t="s">
        <v>27</v>
      </c>
      <c r="F17" s="20" t="str">
        <f>"Budget ("&amp;$G$8&amp;")"</f>
        <v>Budget (USD)</v>
      </c>
      <c r="G17" s="20" t="s">
        <v>28</v>
      </c>
      <c r="H17" s="20" t="s">
        <v>29</v>
      </c>
      <c r="I17" s="20" t="s">
        <v>15</v>
      </c>
      <c r="J17" s="20" t="s">
        <v>30</v>
      </c>
      <c r="K17" s="20" t="s">
        <v>31</v>
      </c>
      <c r="L17" s="20" t="s">
        <v>22</v>
      </c>
      <c r="M17" s="20" t="s">
        <v>32</v>
      </c>
      <c r="N17" s="20" t="s">
        <v>33</v>
      </c>
      <c r="O17" s="20" t="s">
        <v>20</v>
      </c>
      <c r="P17" s="20" t="s">
        <v>34</v>
      </c>
      <c r="Q17" s="20" t="s">
        <v>35</v>
      </c>
      <c r="R17" s="20" t="s">
        <v>36</v>
      </c>
      <c r="U17" s="11"/>
    </row>
    <row r="18" spans="3:21" x14ac:dyDescent="0.35">
      <c r="C18" s="22" t="s">
        <v>37</v>
      </c>
      <c r="D18" s="23">
        <v>46266</v>
      </c>
      <c r="E18" s="23">
        <v>46295</v>
      </c>
      <c r="F18" s="24">
        <v>50000</v>
      </c>
      <c r="G18" s="25">
        <f t="shared" ref="G18:G32" si="0">IF(OR(D18="",E18="",F18=""),"",F18/(E18-D18+1))</f>
        <v>1666.6666666666667</v>
      </c>
      <c r="H18" s="25">
        <f t="shared" ref="H18:H32" ca="1" si="1">IF(OR($C18="",D18="",E18=""),"",IFERROR(SUMIFS(INDIRECT("'"&amp;$C18&amp;"'!$F$14:$F$10013"),INDIRECT("'"&amp;$C18&amp;"'!$C$14:$C$10013"),"&gt;="&amp;D18,INDIRECT("'"&amp;$C18&amp;"'!$C$14:$C$10013"),"&lt;="&amp;E18),""))</f>
        <v>39494.85</v>
      </c>
      <c r="I18" s="18">
        <f t="shared" ref="I18:I32" ca="1" si="2">IF(H18="","",IFERROR(IF(COUNTIFS(INDIRECT("'"&amp;$C18&amp;"'!$C$14:$C$10013"),"&gt;="&amp;D18,INDIRECT("'"&amp;$C18&amp;"'!$C$14:$C$10013"),"&lt;="&amp;E18)=0,"",_xlfn.MAXIFS(INDIRECT("'"&amp;$C18&amp;"'!$C$14:$C$10013"),INDIRECT("'"&amp;$C18&amp;"'!$C$14:$C$10013"),"&gt;="&amp;D18,INDIRECT("'"&amp;$C18&amp;"'!$C$14:$C$10013"),"&lt;="&amp;E18)),""))</f>
        <v>46289</v>
      </c>
      <c r="J18" s="25">
        <f t="shared" ref="J18:J32" ca="1" si="3">IF(OR(F18="",M18=""),"",F18*M18)</f>
        <v>40000</v>
      </c>
      <c r="K18" s="26">
        <f t="shared" ref="K18:K32" ca="1" si="4">IF(OR(J18="",J18=0),"",H18/J18)</f>
        <v>0.98737124999999992</v>
      </c>
      <c r="L18" s="27" t="str">
        <f ca="1">IF($C18="","",IF(NOT(ISREF(INDIRECT("'"&amp;$C18&amp;"'!$A$1"))),"Tab not found",IF(K18="","",IF(K18-1&gt;Overview!$G$7,"Overpacing",IF(1-K18&gt;Overview!$G$7,"Underpacing",IF(K18-1&gt;Overview!$G$6,"Slightly over",IF(1-K18&gt;Overview!$G$6,"Slightly under","On pace")))))))</f>
        <v>On pace</v>
      </c>
      <c r="M18" s="28">
        <f t="shared" ref="M18:M32" ca="1" si="5">IF(I18="","",(I18-D18+1)/(E18-D18+1))</f>
        <v>0.8</v>
      </c>
      <c r="N18" s="28">
        <f t="shared" ref="N18:N33" ca="1" si="6">IF(OR(F18="",F18=0,H18=""),"",H18/F18)</f>
        <v>0.78989699999999996</v>
      </c>
      <c r="O18" s="25">
        <f t="shared" ref="O18:O32" ca="1" si="7">IF(OR(F18="",H18=""),"",F18-H18)</f>
        <v>10505.150000000001</v>
      </c>
      <c r="P18" s="29">
        <f t="shared" ref="P18:P33" ca="1" si="8">IF(OR(D18="",E18=""),"",IF(I18="",E18-D18+1,E18-I18))</f>
        <v>6</v>
      </c>
      <c r="Q18" s="25">
        <f t="shared" ref="Q18:Q32" ca="1" si="9">IF(OR(O18="",P18="",P18=0),"",MAX(0,O18)/P18)</f>
        <v>1750.8583333333336</v>
      </c>
      <c r="R18" s="25">
        <f t="shared" ref="R18:R32" ca="1" si="10">IF(K18="","",H18/M18)</f>
        <v>49368.562499999993</v>
      </c>
      <c r="U18" s="17" t="s">
        <v>38</v>
      </c>
    </row>
    <row r="19" spans="3:21" ht="15" customHeight="1" x14ac:dyDescent="0.35">
      <c r="C19" s="22" t="s">
        <v>39</v>
      </c>
      <c r="D19" s="23">
        <v>46266</v>
      </c>
      <c r="E19" s="23">
        <v>46295</v>
      </c>
      <c r="F19" s="24">
        <v>30000</v>
      </c>
      <c r="G19" s="25">
        <f t="shared" si="0"/>
        <v>1000</v>
      </c>
      <c r="H19" s="25">
        <f t="shared" ca="1" si="1"/>
        <v>20554.219999999998</v>
      </c>
      <c r="I19" s="18">
        <f t="shared" ca="1" si="2"/>
        <v>46289</v>
      </c>
      <c r="J19" s="25">
        <f t="shared" ca="1" si="3"/>
        <v>24000</v>
      </c>
      <c r="K19" s="26">
        <f t="shared" ca="1" si="4"/>
        <v>0.85642583333333322</v>
      </c>
      <c r="L19" s="27" t="str">
        <f ca="1">IF($C19="","",IF(NOT(ISREF(INDIRECT("'"&amp;$C19&amp;"'!$A$1"))),"Tab not found",IF(K19="","",IF(K19-1&gt;Overview!$G$7,"Overpacing",IF(1-K19&gt;Overview!$G$7,"Underpacing",IF(K19-1&gt;Overview!$G$6,"Slightly over",IF(1-K19&gt;Overview!$G$6,"Slightly under","On pace")))))))</f>
        <v>Slightly under</v>
      </c>
      <c r="M19" s="28">
        <f t="shared" ca="1" si="5"/>
        <v>0.8</v>
      </c>
      <c r="N19" s="28">
        <f t="shared" ca="1" si="6"/>
        <v>0.68514066666666662</v>
      </c>
      <c r="O19" s="25">
        <f t="shared" ca="1" si="7"/>
        <v>9445.7800000000025</v>
      </c>
      <c r="P19" s="29">
        <f t="shared" ca="1" si="8"/>
        <v>6</v>
      </c>
      <c r="Q19" s="25">
        <f t="shared" ca="1" si="9"/>
        <v>1574.2966666666671</v>
      </c>
      <c r="R19" s="25">
        <f t="shared" ca="1" si="10"/>
        <v>25692.774999999994</v>
      </c>
      <c r="U19" s="11" t="s">
        <v>40</v>
      </c>
    </row>
    <row r="20" spans="3:21" x14ac:dyDescent="0.35">
      <c r="C20" s="22" t="s">
        <v>41</v>
      </c>
      <c r="D20" s="23">
        <v>46266</v>
      </c>
      <c r="E20" s="23">
        <v>46295</v>
      </c>
      <c r="F20" s="24">
        <v>20000</v>
      </c>
      <c r="G20" s="25">
        <f t="shared" si="0"/>
        <v>666.66666666666663</v>
      </c>
      <c r="H20" s="25">
        <f t="shared" ca="1" si="1"/>
        <v>11143.359999999997</v>
      </c>
      <c r="I20" s="18">
        <f t="shared" ca="1" si="2"/>
        <v>46289</v>
      </c>
      <c r="J20" s="25">
        <f t="shared" ca="1" si="3"/>
        <v>16000</v>
      </c>
      <c r="K20" s="26">
        <f t="shared" ca="1" si="4"/>
        <v>0.69645999999999986</v>
      </c>
      <c r="L20" s="27" t="str">
        <f ca="1">IF($C20="","",IF(NOT(ISREF(INDIRECT("'"&amp;$C20&amp;"'!$A$1"))),"Tab not found",IF(K20="","",IF(K20-1&gt;Overview!$G$7,"Overpacing",IF(1-K20&gt;Overview!$G$7,"Underpacing",IF(K20-1&gt;Overview!$G$6,"Slightly over",IF(1-K20&gt;Overview!$G$6,"Slightly under","On pace")))))))</f>
        <v>Underpacing</v>
      </c>
      <c r="M20" s="28">
        <f t="shared" ca="1" si="5"/>
        <v>0.8</v>
      </c>
      <c r="N20" s="28">
        <f t="shared" ca="1" si="6"/>
        <v>0.55716799999999989</v>
      </c>
      <c r="O20" s="25">
        <f t="shared" ca="1" si="7"/>
        <v>8856.6400000000031</v>
      </c>
      <c r="P20" s="29">
        <f t="shared" ca="1" si="8"/>
        <v>6</v>
      </c>
      <c r="Q20" s="25">
        <f t="shared" ca="1" si="9"/>
        <v>1476.1066666666673</v>
      </c>
      <c r="R20" s="25">
        <f t="shared" ca="1" si="10"/>
        <v>13929.199999999995</v>
      </c>
      <c r="U20" s="11"/>
    </row>
    <row r="21" spans="3:21" ht="15" customHeight="1" x14ac:dyDescent="0.35">
      <c r="C21" s="22" t="s">
        <v>109</v>
      </c>
      <c r="D21" s="23"/>
      <c r="E21" s="23"/>
      <c r="F21" s="24"/>
      <c r="G21" s="25" t="str">
        <f t="shared" si="0"/>
        <v/>
      </c>
      <c r="H21" s="25" t="str">
        <f t="shared" ca="1" si="1"/>
        <v/>
      </c>
      <c r="I21" s="18" t="str">
        <f t="shared" ca="1" si="2"/>
        <v/>
      </c>
      <c r="J21" s="25" t="str">
        <f t="shared" ca="1" si="3"/>
        <v/>
      </c>
      <c r="K21" s="26" t="str">
        <f t="shared" ca="1" si="4"/>
        <v/>
      </c>
      <c r="L21" s="27" t="str">
        <f ca="1">IF($C21="","",IF(NOT(ISREF(INDIRECT("'"&amp;$C21&amp;"'!$A$1"))),"Tab not found",IF(K21="","",IF(K21-1&gt;Overview!$G$7,"Overpacing",IF(1-K21&gt;Overview!$G$7,"Underpacing",IF(K21-1&gt;Overview!$G$6,"Slightly over",IF(1-K21&gt;Overview!$G$6,"Slightly under","On pace")))))))</f>
        <v/>
      </c>
      <c r="M21" s="28" t="str">
        <f t="shared" ca="1" si="5"/>
        <v/>
      </c>
      <c r="N21" s="28" t="str">
        <f t="shared" ca="1" si="6"/>
        <v/>
      </c>
      <c r="O21" s="25" t="str">
        <f t="shared" ca="1" si="7"/>
        <v/>
      </c>
      <c r="P21" s="29" t="str">
        <f t="shared" si="8"/>
        <v/>
      </c>
      <c r="Q21" s="25" t="str">
        <f t="shared" ca="1" si="9"/>
        <v/>
      </c>
      <c r="R21" s="25" t="str">
        <f t="shared" ca="1" si="10"/>
        <v/>
      </c>
      <c r="U21" s="11" t="s">
        <v>42</v>
      </c>
    </row>
    <row r="22" spans="3:21" x14ac:dyDescent="0.35">
      <c r="C22" s="22" t="s">
        <v>43</v>
      </c>
      <c r="D22" s="23">
        <v>46266</v>
      </c>
      <c r="E22" s="23">
        <v>46295</v>
      </c>
      <c r="F22" s="24">
        <v>60000</v>
      </c>
      <c r="G22" s="25">
        <f t="shared" si="0"/>
        <v>2000</v>
      </c>
      <c r="H22" s="25">
        <f t="shared" ca="1" si="1"/>
        <v>49604.140000000014</v>
      </c>
      <c r="I22" s="18">
        <f t="shared" ca="1" si="2"/>
        <v>46289</v>
      </c>
      <c r="J22" s="25">
        <f t="shared" ca="1" si="3"/>
        <v>48000</v>
      </c>
      <c r="K22" s="26">
        <f t="shared" ca="1" si="4"/>
        <v>1.0334195833333337</v>
      </c>
      <c r="L22" s="27" t="str">
        <f ca="1">IF($C22="","",IF(NOT(ISREF(INDIRECT("'"&amp;$C22&amp;"'!$A$1"))),"Tab not found",IF(K22="","",IF(K22-1&gt;Overview!$G$7,"Overpacing",IF(1-K22&gt;Overview!$G$7,"Underpacing",IF(K22-1&gt;Overview!$G$6,"Slightly over",IF(1-K22&gt;Overview!$G$6,"Slightly under","On pace")))))))</f>
        <v>On pace</v>
      </c>
      <c r="M22" s="28">
        <f t="shared" ca="1" si="5"/>
        <v>0.8</v>
      </c>
      <c r="N22" s="28">
        <f t="shared" ca="1" si="6"/>
        <v>0.82673566666666687</v>
      </c>
      <c r="O22" s="25">
        <f t="shared" ca="1" si="7"/>
        <v>10395.859999999986</v>
      </c>
      <c r="P22" s="29">
        <f t="shared" ca="1" si="8"/>
        <v>6</v>
      </c>
      <c r="Q22" s="25">
        <f t="shared" ca="1" si="9"/>
        <v>1732.6433333333309</v>
      </c>
      <c r="R22" s="25">
        <f t="shared" ca="1" si="10"/>
        <v>62005.175000000017</v>
      </c>
      <c r="U22" s="11"/>
    </row>
    <row r="23" spans="3:21" ht="15" customHeight="1" x14ac:dyDescent="0.35">
      <c r="C23" s="22" t="s">
        <v>44</v>
      </c>
      <c r="D23" s="23">
        <v>46266</v>
      </c>
      <c r="E23" s="23">
        <v>46295</v>
      </c>
      <c r="F23" s="24">
        <v>10000</v>
      </c>
      <c r="G23" s="25">
        <f t="shared" si="0"/>
        <v>333.33333333333331</v>
      </c>
      <c r="H23" s="25">
        <f t="shared" ca="1" si="1"/>
        <v>9051.5100000000039</v>
      </c>
      <c r="I23" s="18">
        <f t="shared" ca="1" si="2"/>
        <v>46289</v>
      </c>
      <c r="J23" s="25">
        <f t="shared" ca="1" si="3"/>
        <v>8000</v>
      </c>
      <c r="K23" s="26">
        <f t="shared" ca="1" si="4"/>
        <v>1.1314387500000005</v>
      </c>
      <c r="L23" s="27" t="str">
        <f ca="1">IF($C23="","",IF(NOT(ISREF(INDIRECT("'"&amp;$C23&amp;"'!$A$1"))),"Tab not found",IF(K23="","",IF(K23-1&gt;Overview!$G$7,"Overpacing",IF(1-K23&gt;Overview!$G$7,"Underpacing",IF(K23-1&gt;Overview!$G$6,"Slightly over",IF(1-K23&gt;Overview!$G$6,"Slightly under","On pace")))))))</f>
        <v>Slightly over</v>
      </c>
      <c r="M23" s="28">
        <f t="shared" ca="1" si="5"/>
        <v>0.8</v>
      </c>
      <c r="N23" s="28">
        <f t="shared" ca="1" si="6"/>
        <v>0.90515100000000037</v>
      </c>
      <c r="O23" s="25">
        <f t="shared" ca="1" si="7"/>
        <v>948.48999999999614</v>
      </c>
      <c r="P23" s="29">
        <f t="shared" ca="1" si="8"/>
        <v>6</v>
      </c>
      <c r="Q23" s="25">
        <f t="shared" ca="1" si="9"/>
        <v>158.08166666666602</v>
      </c>
      <c r="R23" s="25">
        <f t="shared" ca="1" si="10"/>
        <v>11314.387500000004</v>
      </c>
      <c r="U23" s="11" t="s">
        <v>45</v>
      </c>
    </row>
    <row r="24" spans="3:21" x14ac:dyDescent="0.35">
      <c r="C24" s="22" t="s">
        <v>46</v>
      </c>
      <c r="D24" s="23">
        <v>46266</v>
      </c>
      <c r="E24" s="23">
        <v>46295</v>
      </c>
      <c r="F24" s="24">
        <v>40000</v>
      </c>
      <c r="G24" s="25">
        <f t="shared" si="0"/>
        <v>1333.3333333333333</v>
      </c>
      <c r="H24" s="25">
        <f t="shared" ca="1" si="1"/>
        <v>39890.97</v>
      </c>
      <c r="I24" s="18">
        <f t="shared" ca="1" si="2"/>
        <v>46289</v>
      </c>
      <c r="J24" s="25">
        <f t="shared" ca="1" si="3"/>
        <v>32000</v>
      </c>
      <c r="K24" s="26">
        <f t="shared" ca="1" si="4"/>
        <v>1.2465928125000001</v>
      </c>
      <c r="L24" s="27" t="str">
        <f ca="1">IF($C24="","",IF(NOT(ISREF(INDIRECT("'"&amp;$C24&amp;"'!$A$1"))),"Tab not found",IF(K24="","",IF(K24-1&gt;Overview!$G$7,"Overpacing",IF(1-K24&gt;Overview!$G$7,"Underpacing",IF(K24-1&gt;Overview!$G$6,"Slightly over",IF(1-K24&gt;Overview!$G$6,"Slightly under","On pace")))))))</f>
        <v>Overpacing</v>
      </c>
      <c r="M24" s="28">
        <f t="shared" ca="1" si="5"/>
        <v>0.8</v>
      </c>
      <c r="N24" s="28">
        <f t="shared" ca="1" si="6"/>
        <v>0.99727425000000003</v>
      </c>
      <c r="O24" s="25">
        <f t="shared" ca="1" si="7"/>
        <v>109.02999999999884</v>
      </c>
      <c r="P24" s="29">
        <f t="shared" ca="1" si="8"/>
        <v>6</v>
      </c>
      <c r="Q24" s="25">
        <f t="shared" ca="1" si="9"/>
        <v>18.171666666666471</v>
      </c>
      <c r="R24" s="25">
        <f t="shared" ca="1" si="10"/>
        <v>49863.712500000001</v>
      </c>
      <c r="U24" s="11"/>
    </row>
    <row r="25" spans="3:21" x14ac:dyDescent="0.35">
      <c r="C25" s="22" t="s">
        <v>47</v>
      </c>
      <c r="D25" s="23"/>
      <c r="E25" s="23"/>
      <c r="F25" s="24"/>
      <c r="G25" s="25" t="str">
        <f t="shared" si="0"/>
        <v/>
      </c>
      <c r="H25" s="25" t="str">
        <f t="shared" ca="1" si="1"/>
        <v/>
      </c>
      <c r="I25" s="18" t="str">
        <f t="shared" ca="1" si="2"/>
        <v/>
      </c>
      <c r="J25" s="25" t="str">
        <f t="shared" ca="1" si="3"/>
        <v/>
      </c>
      <c r="K25" s="26" t="str">
        <f t="shared" ca="1" si="4"/>
        <v/>
      </c>
      <c r="L25" s="27" t="str">
        <f ca="1">IF($C25="","",IF(NOT(ISREF(INDIRECT("'"&amp;$C25&amp;"'!$A$1"))),"Tab not found",IF(K25="","",IF(K25-1&gt;Overview!$G$7,"Overpacing",IF(1-K25&gt;Overview!$G$7,"Underpacing",IF(K25-1&gt;Overview!$G$6,"Slightly over",IF(1-K25&gt;Overview!$G$6,"Slightly under","On pace")))))))</f>
        <v/>
      </c>
      <c r="M25" s="28" t="str">
        <f t="shared" ca="1" si="5"/>
        <v/>
      </c>
      <c r="N25" s="28" t="str">
        <f t="shared" ca="1" si="6"/>
        <v/>
      </c>
      <c r="O25" s="25" t="str">
        <f t="shared" ca="1" si="7"/>
        <v/>
      </c>
      <c r="P25" s="29" t="str">
        <f t="shared" si="8"/>
        <v/>
      </c>
      <c r="Q25" s="25" t="str">
        <f t="shared" ca="1" si="9"/>
        <v/>
      </c>
      <c r="R25" s="25" t="str">
        <f t="shared" ca="1" si="10"/>
        <v/>
      </c>
      <c r="U25" s="11"/>
    </row>
    <row r="26" spans="3:21" ht="15" customHeight="1" x14ac:dyDescent="0.35">
      <c r="C26" s="22"/>
      <c r="D26" s="23"/>
      <c r="E26" s="23"/>
      <c r="F26" s="24"/>
      <c r="G26" s="25" t="str">
        <f t="shared" si="0"/>
        <v/>
      </c>
      <c r="H26" s="25" t="str">
        <f t="shared" ca="1" si="1"/>
        <v/>
      </c>
      <c r="I26" s="18" t="str">
        <f t="shared" ca="1" si="2"/>
        <v/>
      </c>
      <c r="J26" s="25" t="str">
        <f t="shared" ca="1" si="3"/>
        <v/>
      </c>
      <c r="K26" s="26" t="str">
        <f t="shared" ca="1" si="4"/>
        <v/>
      </c>
      <c r="L26" s="27" t="str">
        <f ca="1">IF($C26="","",IF(NOT(ISREF(INDIRECT("'"&amp;$C26&amp;"'!$A$1"))),"Tab not found",IF(K26="","",IF(K26-1&gt;Overview!$G$7,"Overpacing",IF(1-K26&gt;Overview!$G$7,"Underpacing",IF(K26-1&gt;Overview!$G$6,"Slightly over",IF(1-K26&gt;Overview!$G$6,"Slightly under","On pace")))))))</f>
        <v/>
      </c>
      <c r="M26" s="28" t="str">
        <f t="shared" ca="1" si="5"/>
        <v/>
      </c>
      <c r="N26" s="28" t="str">
        <f t="shared" ca="1" si="6"/>
        <v/>
      </c>
      <c r="O26" s="25" t="str">
        <f t="shared" ca="1" si="7"/>
        <v/>
      </c>
      <c r="P26" s="29" t="str">
        <f t="shared" si="8"/>
        <v/>
      </c>
      <c r="Q26" s="25" t="str">
        <f t="shared" ca="1" si="9"/>
        <v/>
      </c>
      <c r="R26" s="25" t="str">
        <f t="shared" ca="1" si="10"/>
        <v/>
      </c>
      <c r="U26" s="11" t="s">
        <v>48</v>
      </c>
    </row>
    <row r="27" spans="3:21" x14ac:dyDescent="0.35">
      <c r="C27" s="22"/>
      <c r="D27" s="23"/>
      <c r="E27" s="23"/>
      <c r="F27" s="24"/>
      <c r="G27" s="25" t="str">
        <f t="shared" si="0"/>
        <v/>
      </c>
      <c r="H27" s="25" t="str">
        <f t="shared" ca="1" si="1"/>
        <v/>
      </c>
      <c r="I27" s="18" t="str">
        <f t="shared" ca="1" si="2"/>
        <v/>
      </c>
      <c r="J27" s="25" t="str">
        <f t="shared" ca="1" si="3"/>
        <v/>
      </c>
      <c r="K27" s="26" t="str">
        <f t="shared" ca="1" si="4"/>
        <v/>
      </c>
      <c r="L27" s="27" t="str">
        <f ca="1">IF($C27="","",IF(NOT(ISREF(INDIRECT("'"&amp;$C27&amp;"'!$A$1"))),"Tab not found",IF(K27="","",IF(K27-1&gt;Overview!$G$7,"Overpacing",IF(1-K27&gt;Overview!$G$7,"Underpacing",IF(K27-1&gt;Overview!$G$6,"Slightly over",IF(1-K27&gt;Overview!$G$6,"Slightly under","On pace")))))))</f>
        <v/>
      </c>
      <c r="M27" s="28" t="str">
        <f t="shared" ca="1" si="5"/>
        <v/>
      </c>
      <c r="N27" s="28" t="str">
        <f t="shared" ca="1" si="6"/>
        <v/>
      </c>
      <c r="O27" s="25" t="str">
        <f t="shared" ca="1" si="7"/>
        <v/>
      </c>
      <c r="P27" s="29" t="str">
        <f t="shared" si="8"/>
        <v/>
      </c>
      <c r="Q27" s="25" t="str">
        <f t="shared" ca="1" si="9"/>
        <v/>
      </c>
      <c r="R27" s="25" t="str">
        <f t="shared" ca="1" si="10"/>
        <v/>
      </c>
      <c r="U27" s="11"/>
    </row>
    <row r="28" spans="3:21" ht="15" customHeight="1" x14ac:dyDescent="0.35">
      <c r="C28" s="22"/>
      <c r="D28" s="23"/>
      <c r="E28" s="23"/>
      <c r="F28" s="24"/>
      <c r="G28" s="25" t="str">
        <f t="shared" si="0"/>
        <v/>
      </c>
      <c r="H28" s="25" t="str">
        <f t="shared" ca="1" si="1"/>
        <v/>
      </c>
      <c r="I28" s="18" t="str">
        <f t="shared" ca="1" si="2"/>
        <v/>
      </c>
      <c r="J28" s="25" t="str">
        <f t="shared" ca="1" si="3"/>
        <v/>
      </c>
      <c r="K28" s="26" t="str">
        <f t="shared" ca="1" si="4"/>
        <v/>
      </c>
      <c r="L28" s="27" t="str">
        <f ca="1">IF($C28="","",IF(NOT(ISREF(INDIRECT("'"&amp;$C28&amp;"'!$A$1"))),"Tab not found",IF(K28="","",IF(K28-1&gt;Overview!$G$7,"Overpacing",IF(1-K28&gt;Overview!$G$7,"Underpacing",IF(K28-1&gt;Overview!$G$6,"Slightly over",IF(1-K28&gt;Overview!$G$6,"Slightly under","On pace")))))))</f>
        <v/>
      </c>
      <c r="M28" s="28" t="str">
        <f t="shared" ca="1" si="5"/>
        <v/>
      </c>
      <c r="N28" s="28" t="str">
        <f t="shared" ca="1" si="6"/>
        <v/>
      </c>
      <c r="O28" s="25" t="str">
        <f t="shared" ca="1" si="7"/>
        <v/>
      </c>
      <c r="P28" s="29" t="str">
        <f t="shared" si="8"/>
        <v/>
      </c>
      <c r="Q28" s="25" t="str">
        <f t="shared" ca="1" si="9"/>
        <v/>
      </c>
      <c r="R28" s="25" t="str">
        <f t="shared" ca="1" si="10"/>
        <v/>
      </c>
      <c r="U28" s="11" t="s">
        <v>49</v>
      </c>
    </row>
    <row r="29" spans="3:21" x14ac:dyDescent="0.35">
      <c r="C29" s="22"/>
      <c r="D29" s="23"/>
      <c r="E29" s="23"/>
      <c r="F29" s="24"/>
      <c r="G29" s="25" t="str">
        <f t="shared" si="0"/>
        <v/>
      </c>
      <c r="H29" s="25" t="str">
        <f t="shared" ca="1" si="1"/>
        <v/>
      </c>
      <c r="I29" s="18" t="str">
        <f t="shared" ca="1" si="2"/>
        <v/>
      </c>
      <c r="J29" s="25" t="str">
        <f t="shared" ca="1" si="3"/>
        <v/>
      </c>
      <c r="K29" s="26" t="str">
        <f t="shared" ca="1" si="4"/>
        <v/>
      </c>
      <c r="L29" s="27" t="str">
        <f ca="1">IF($C29="","",IF(NOT(ISREF(INDIRECT("'"&amp;$C29&amp;"'!$A$1"))),"Tab not found",IF(K29="","",IF(K29-1&gt;Overview!$G$7,"Overpacing",IF(1-K29&gt;Overview!$G$7,"Underpacing",IF(K29-1&gt;Overview!$G$6,"Slightly over",IF(1-K29&gt;Overview!$G$6,"Slightly under","On pace")))))))</f>
        <v/>
      </c>
      <c r="M29" s="28" t="str">
        <f t="shared" ca="1" si="5"/>
        <v/>
      </c>
      <c r="N29" s="28" t="str">
        <f t="shared" ca="1" si="6"/>
        <v/>
      </c>
      <c r="O29" s="25" t="str">
        <f t="shared" ca="1" si="7"/>
        <v/>
      </c>
      <c r="P29" s="29" t="str">
        <f t="shared" si="8"/>
        <v/>
      </c>
      <c r="Q29" s="25" t="str">
        <f t="shared" ca="1" si="9"/>
        <v/>
      </c>
      <c r="R29" s="25" t="str">
        <f t="shared" ca="1" si="10"/>
        <v/>
      </c>
      <c r="U29" s="11"/>
    </row>
    <row r="30" spans="3:21" x14ac:dyDescent="0.35">
      <c r="C30" s="22"/>
      <c r="D30" s="23"/>
      <c r="E30" s="23"/>
      <c r="F30" s="24"/>
      <c r="G30" s="25" t="str">
        <f t="shared" si="0"/>
        <v/>
      </c>
      <c r="H30" s="25" t="str">
        <f t="shared" ca="1" si="1"/>
        <v/>
      </c>
      <c r="I30" s="18" t="str">
        <f t="shared" ca="1" si="2"/>
        <v/>
      </c>
      <c r="J30" s="25" t="str">
        <f t="shared" ca="1" si="3"/>
        <v/>
      </c>
      <c r="K30" s="26" t="str">
        <f t="shared" ca="1" si="4"/>
        <v/>
      </c>
      <c r="L30" s="27" t="str">
        <f ca="1">IF($C30="","",IF(NOT(ISREF(INDIRECT("'"&amp;$C30&amp;"'!$A$1"))),"Tab not found",IF(K30="","",IF(K30-1&gt;Overview!$G$7,"Overpacing",IF(1-K30&gt;Overview!$G$7,"Underpacing",IF(K30-1&gt;Overview!$G$6,"Slightly over",IF(1-K30&gt;Overview!$G$6,"Slightly under","On pace")))))))</f>
        <v/>
      </c>
      <c r="M30" s="28" t="str">
        <f t="shared" ca="1" si="5"/>
        <v/>
      </c>
      <c r="N30" s="28" t="str">
        <f t="shared" ca="1" si="6"/>
        <v/>
      </c>
      <c r="O30" s="25" t="str">
        <f t="shared" ca="1" si="7"/>
        <v/>
      </c>
      <c r="P30" s="29" t="str">
        <f t="shared" si="8"/>
        <v/>
      </c>
      <c r="Q30" s="25" t="str">
        <f t="shared" ca="1" si="9"/>
        <v/>
      </c>
      <c r="R30" s="25" t="str">
        <f t="shared" ca="1" si="10"/>
        <v/>
      </c>
      <c r="U30" s="11"/>
    </row>
    <row r="31" spans="3:21" x14ac:dyDescent="0.35">
      <c r="C31" s="22"/>
      <c r="D31" s="23"/>
      <c r="E31" s="23"/>
      <c r="F31" s="24"/>
      <c r="G31" s="25" t="str">
        <f t="shared" si="0"/>
        <v/>
      </c>
      <c r="H31" s="25" t="str">
        <f t="shared" ca="1" si="1"/>
        <v/>
      </c>
      <c r="I31" s="18" t="str">
        <f t="shared" ca="1" si="2"/>
        <v/>
      </c>
      <c r="J31" s="25" t="str">
        <f t="shared" ca="1" si="3"/>
        <v/>
      </c>
      <c r="K31" s="26" t="str">
        <f t="shared" ca="1" si="4"/>
        <v/>
      </c>
      <c r="L31" s="27" t="str">
        <f ca="1">IF($C31="","",IF(NOT(ISREF(INDIRECT("'"&amp;$C31&amp;"'!$A$1"))),"Tab not found",IF(K31="","",IF(K31-1&gt;Overview!$G$7,"Overpacing",IF(1-K31&gt;Overview!$G$7,"Underpacing",IF(K31-1&gt;Overview!$G$6,"Slightly over",IF(1-K31&gt;Overview!$G$6,"Slightly under","On pace")))))))</f>
        <v/>
      </c>
      <c r="M31" s="28" t="str">
        <f t="shared" ca="1" si="5"/>
        <v/>
      </c>
      <c r="N31" s="28" t="str">
        <f t="shared" ca="1" si="6"/>
        <v/>
      </c>
      <c r="O31" s="25" t="str">
        <f t="shared" ca="1" si="7"/>
        <v/>
      </c>
      <c r="P31" s="29" t="str">
        <f t="shared" si="8"/>
        <v/>
      </c>
      <c r="Q31" s="25" t="str">
        <f t="shared" ca="1" si="9"/>
        <v/>
      </c>
      <c r="R31" s="25" t="str">
        <f t="shared" ca="1" si="10"/>
        <v/>
      </c>
      <c r="U31" s="17" t="s">
        <v>50</v>
      </c>
    </row>
    <row r="32" spans="3:21" ht="15" customHeight="1" x14ac:dyDescent="0.35">
      <c r="C32" s="22"/>
      <c r="D32" s="23"/>
      <c r="E32" s="23"/>
      <c r="F32" s="24"/>
      <c r="G32" s="25" t="str">
        <f t="shared" si="0"/>
        <v/>
      </c>
      <c r="H32" s="25" t="str">
        <f t="shared" ca="1" si="1"/>
        <v/>
      </c>
      <c r="I32" s="18" t="str">
        <f t="shared" ca="1" si="2"/>
        <v/>
      </c>
      <c r="J32" s="25" t="str">
        <f t="shared" ca="1" si="3"/>
        <v/>
      </c>
      <c r="K32" s="26" t="str">
        <f t="shared" ca="1" si="4"/>
        <v/>
      </c>
      <c r="L32" s="27" t="str">
        <f ca="1">IF($C32="","",IF(NOT(ISREF(INDIRECT("'"&amp;$C32&amp;"'!$A$1"))),"Tab not found",IF(K32="","",IF(K32-1&gt;Overview!$G$7,"Overpacing",IF(1-K32&gt;Overview!$G$7,"Underpacing",IF(K32-1&gt;Overview!$G$6,"Slightly over",IF(1-K32&gt;Overview!$G$6,"Slightly under","On pace")))))))</f>
        <v/>
      </c>
      <c r="M32" s="28" t="str">
        <f t="shared" ca="1" si="5"/>
        <v/>
      </c>
      <c r="N32" s="28" t="str">
        <f t="shared" ca="1" si="6"/>
        <v/>
      </c>
      <c r="O32" s="25" t="str">
        <f t="shared" ca="1" si="7"/>
        <v/>
      </c>
      <c r="P32" s="29" t="str">
        <f t="shared" si="8"/>
        <v/>
      </c>
      <c r="Q32" s="25" t="str">
        <f t="shared" ca="1" si="9"/>
        <v/>
      </c>
      <c r="R32" s="25" t="str">
        <f t="shared" ca="1" si="10"/>
        <v/>
      </c>
      <c r="U32" s="11" t="s">
        <v>51</v>
      </c>
    </row>
    <row r="33" spans="3:21" x14ac:dyDescent="0.35">
      <c r="C33" s="30" t="s">
        <v>52</v>
      </c>
      <c r="D33" s="31">
        <f>IF(COUNT(D18:D32)=0,"",MIN(D18:D32))</f>
        <v>46266</v>
      </c>
      <c r="E33" s="31">
        <f>IF(COUNT(E18:E32)=0,"",MAX(E18:E32))</f>
        <v>46295</v>
      </c>
      <c r="F33" s="30">
        <f>IF(COUNT(F18:F32)=0,"",SUM(F18:F32))</f>
        <v>210000</v>
      </c>
      <c r="G33" s="30">
        <f>IF(COUNT(G18:G32)=0,"",SUM(G18:G32))</f>
        <v>7000</v>
      </c>
      <c r="H33" s="30">
        <f ca="1">IF(COUNT(H18:H32)=0,"",SUM(H18:H32))</f>
        <v>169739.05000000002</v>
      </c>
      <c r="I33" s="31">
        <f ca="1">IF(COUNT(I18:I32)=0,"",MAX(I18:I32))</f>
        <v>46289</v>
      </c>
      <c r="J33" s="30">
        <f ca="1">IF(COUNT(J18:J32)=0,"",SUM(J18:J32))</f>
        <v>168000</v>
      </c>
      <c r="K33" s="32">
        <f ca="1">IF(OR(J33="",J33=0),"",SUMIFS(H18:H32,J18:J32,"&lt;&gt;")/J33)</f>
        <v>1.0103514880952382</v>
      </c>
      <c r="L33" s="33" t="str">
        <f ca="1">IF(K33="","",IF(K33-1&gt;Overview!$G$7,"Overpacing",IF(1-K33&gt;Overview!$G$7,"Underpacing",IF(K33-1&gt;Overview!$G$6,"Slightly over",IF(1-K33&gt;Overview!$G$6,"Slightly under","On pace")))))</f>
        <v>On pace</v>
      </c>
      <c r="M33" s="32">
        <f ca="1">IF(OR(I33="",D33="",E33=""),"",(I33-D33+1)/(E33-D33+1))</f>
        <v>0.8</v>
      </c>
      <c r="N33" s="32">
        <f t="shared" ca="1" si="6"/>
        <v>0.80828119047619051</v>
      </c>
      <c r="O33" s="30">
        <f ca="1">IF(COUNT(O18:O32)=0,"",SUM(O18:O32))</f>
        <v>40260.94999999999</v>
      </c>
      <c r="P33" s="34">
        <f t="shared" ca="1" si="8"/>
        <v>6</v>
      </c>
      <c r="Q33" s="30">
        <f ca="1">IF(COUNT(Q18:Q32)=0,"",SUM(Q18:Q32))</f>
        <v>6710.158333333331</v>
      </c>
      <c r="R33" s="30">
        <f ca="1">IF(COUNT(R18:R32)=0,"",SUM(R18:R32))</f>
        <v>212173.81250000003</v>
      </c>
      <c r="U33" s="11"/>
    </row>
    <row r="34" spans="3:21" x14ac:dyDescent="0.35">
      <c r="U34" s="17"/>
    </row>
    <row r="35" spans="3:21" ht="17.399999999999999" customHeight="1" x14ac:dyDescent="0.45">
      <c r="C35" s="19" t="s">
        <v>53</v>
      </c>
      <c r="U35" s="5"/>
    </row>
    <row r="36" spans="3:21" x14ac:dyDescent="0.35">
      <c r="C36" s="35"/>
      <c r="D36" s="36" t="s">
        <v>54</v>
      </c>
      <c r="U36" s="5"/>
    </row>
    <row r="37" spans="3:21" x14ac:dyDescent="0.35">
      <c r="C37" s="37"/>
      <c r="D37" s="36" t="s">
        <v>55</v>
      </c>
    </row>
    <row r="38" spans="3:21" x14ac:dyDescent="0.35">
      <c r="C38" s="38" t="s">
        <v>56</v>
      </c>
      <c r="D38" s="36" t="s">
        <v>57</v>
      </c>
    </row>
    <row r="39" spans="3:21" x14ac:dyDescent="0.35">
      <c r="C39" s="39" t="s">
        <v>58</v>
      </c>
      <c r="D39" s="36" t="s">
        <v>59</v>
      </c>
    </row>
    <row r="40" spans="3:21" x14ac:dyDescent="0.35">
      <c r="C40" s="40" t="s">
        <v>60</v>
      </c>
      <c r="D40" s="36" t="s">
        <v>61</v>
      </c>
    </row>
  </sheetData>
  <mergeCells count="28">
    <mergeCell ref="U28:U30"/>
    <mergeCell ref="U32:U33"/>
    <mergeCell ref="U35:U36"/>
    <mergeCell ref="U15:U17"/>
    <mergeCell ref="U19:U20"/>
    <mergeCell ref="U21:U22"/>
    <mergeCell ref="U23:U25"/>
    <mergeCell ref="U26:U27"/>
    <mergeCell ref="D13:E13"/>
    <mergeCell ref="F13:G13"/>
    <mergeCell ref="H13:I13"/>
    <mergeCell ref="J13:L13"/>
    <mergeCell ref="U13:U14"/>
    <mergeCell ref="U11:U12"/>
    <mergeCell ref="D12:E12"/>
    <mergeCell ref="F12:G12"/>
    <mergeCell ref="H12:I12"/>
    <mergeCell ref="J12:L12"/>
    <mergeCell ref="D8:E8"/>
    <mergeCell ref="G8:H8"/>
    <mergeCell ref="U8:U10"/>
    <mergeCell ref="D9:E9"/>
    <mergeCell ref="G9:H9"/>
    <mergeCell ref="L2:R3"/>
    <mergeCell ref="D6:E6"/>
    <mergeCell ref="G6:H6"/>
    <mergeCell ref="D7:E7"/>
    <mergeCell ref="G7:H7"/>
  </mergeCells>
  <conditionalFormatting sqref="H13:I13">
    <cfRule type="expression" dxfId="92" priority="2">
      <formula>AND(ISNUMBER($H$13),ABS($H$13-1)&gt;$G$7)</formula>
    </cfRule>
    <cfRule type="expression" dxfId="91" priority="3">
      <formula>AND(ISNUMBER($H$13),ABS($H$13-1)&gt;$G$6)</formula>
    </cfRule>
    <cfRule type="expression" dxfId="90" priority="4">
      <formula>ISNUMBER($H$13)</formula>
    </cfRule>
  </conditionalFormatting>
  <conditionalFormatting sqref="J13:L13">
    <cfRule type="expression" dxfId="89" priority="5">
      <formula>OR($J$13="Overpacing",$J$13="Underpacing",$J$13="Tab not found")</formula>
    </cfRule>
    <cfRule type="expression" dxfId="88" priority="6">
      <formula>OR($J$13="Slightly over",$J$13="Slightly under")</formula>
    </cfRule>
    <cfRule type="expression" dxfId="87" priority="7">
      <formula>$J$13="On pace"</formula>
    </cfRule>
  </conditionalFormatting>
  <conditionalFormatting sqref="K18:L33">
    <cfRule type="expression" dxfId="86" priority="8">
      <formula>OR($L18="Overpacing",$L18="Underpacing",$L18="Tab not found")</formula>
    </cfRule>
    <cfRule type="expression" dxfId="85" priority="9">
      <formula>OR($L18="Slightly over",$L18="Slightly under")</formula>
    </cfRule>
    <cfRule type="expression" dxfId="84" priority="10">
      <formula>$L18="On pace"</formula>
    </cfRule>
  </conditionalFormatting>
  <dataValidations count="2">
    <dataValidation type="date" operator="greaterThan" showErrorMessage="1" errorTitle="Date needed" error="Enter a date, e.g. 1 Sep 2026" sqref="D18:E32" xr:uid="{00000000-0002-0000-0000-000000000000}">
      <formula1>1</formula1>
      <formula2>0</formula2>
    </dataValidation>
    <dataValidation type="decimal" operator="greaterThanOrEqual" showErrorMessage="1" errorTitle="Number needed" error="Enter a number without currency symbols" sqref="F18:F32" xr:uid="{00000000-0002-0000-0000-000001000000}">
      <formula1>0</formula1>
      <formula2>0</formula2>
    </dataValidation>
  </dataValidations>
  <pageMargins left="0.75" right="0.75" top="1" bottom="1"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W377"/>
  <sheetViews>
    <sheetView showGridLines="0" zoomScaleNormal="100" workbookViewId="0">
      <pane xSplit="3" ySplit="11" topLeftCell="D12" activePane="bottomRight" state="frozen"/>
      <selection pane="topRight" activeCell="D1" sqref="D1"/>
      <selection pane="bottomLeft" activeCell="A12" sqref="A12"/>
      <selection pane="bottomRight"/>
    </sheetView>
  </sheetViews>
  <sheetFormatPr defaultColWidth="8.6328125" defaultRowHeight="14.5" x14ac:dyDescent="0.35"/>
  <cols>
    <col min="1" max="1" width="1.26953125" customWidth="1"/>
    <col min="2" max="2" width="3" customWidth="1"/>
    <col min="3" max="3" width="15" customWidth="1"/>
    <col min="4" max="18" width="11.453125" customWidth="1"/>
    <col min="19" max="22" width="13" customWidth="1"/>
    <col min="23" max="23" width="11" customWidth="1"/>
  </cols>
  <sheetData>
    <row r="2" spans="3:23" x14ac:dyDescent="0.35">
      <c r="S2" s="14" t="s">
        <v>62</v>
      </c>
      <c r="T2" s="14"/>
      <c r="U2" s="14"/>
      <c r="V2" s="14"/>
      <c r="W2" s="14"/>
    </row>
    <row r="3" spans="3:23" x14ac:dyDescent="0.35">
      <c r="S3" s="14"/>
      <c r="T3" s="14"/>
      <c r="U3" s="14"/>
      <c r="V3" s="14"/>
      <c r="W3" s="14"/>
    </row>
    <row r="6" spans="3:23" x14ac:dyDescent="0.35">
      <c r="C6" s="15" t="s">
        <v>4</v>
      </c>
      <c r="D6" s="4" t="str">
        <f>Overview!D7</f>
        <v>Campaign name</v>
      </c>
      <c r="E6" s="4"/>
      <c r="F6" s="4"/>
    </row>
    <row r="7" spans="3:23" x14ac:dyDescent="0.35">
      <c r="C7" s="15" t="s">
        <v>15</v>
      </c>
      <c r="D7" s="10">
        <f ca="1">Overview!G9</f>
        <v>46289</v>
      </c>
      <c r="E7" s="10"/>
      <c r="F7" s="10"/>
    </row>
    <row r="9" spans="3:23" ht="18.5" x14ac:dyDescent="0.45">
      <c r="C9" s="19" t="s">
        <v>63</v>
      </c>
    </row>
    <row r="10" spans="3:23" x14ac:dyDescent="0.35">
      <c r="C10" s="41" t="s">
        <v>64</v>
      </c>
    </row>
    <row r="11" spans="3:23" ht="30" customHeight="1" x14ac:dyDescent="0.35">
      <c r="C11" s="20" t="s">
        <v>65</v>
      </c>
      <c r="D11" s="20" t="str">
        <f>IF(Overview!$C$18="","",Overview!$C$18)</f>
        <v>Meta</v>
      </c>
      <c r="E11" s="20" t="str">
        <f>IF(Overview!$C$19="","",Overview!$C$19)</f>
        <v>TikTok</v>
      </c>
      <c r="F11" s="20" t="str">
        <f>IF(Overview!$C$20="","",Overview!$C$20)</f>
        <v>LinkedIn</v>
      </c>
      <c r="G11" s="20" t="str">
        <f>IF(Overview!$C$21="","",Overview!$C$21)</f>
        <v>Pinterest</v>
      </c>
      <c r="H11" s="20" t="str">
        <f>IF(Overview!$C$22="","",Overview!$C$22)</f>
        <v>Google Ads</v>
      </c>
      <c r="I11" s="20" t="str">
        <f>IF(Overview!$C$23="","",Overview!$C$23)</f>
        <v>Microsoft Ads</v>
      </c>
      <c r="J11" s="20" t="str">
        <f>IF(Overview!$C$24="","",Overview!$C$24)</f>
        <v>Programmatic</v>
      </c>
      <c r="K11" s="20" t="str">
        <f>IF(Overview!$C$25="","",Overview!$C$25)</f>
        <v>Other</v>
      </c>
      <c r="L11" s="20" t="str">
        <f>IF(Overview!$C$26="","",Overview!$C$26)</f>
        <v/>
      </c>
      <c r="M11" s="20" t="str">
        <f>IF(Overview!$C$27="","",Overview!$C$27)</f>
        <v/>
      </c>
      <c r="N11" s="20" t="str">
        <f>IF(Overview!$C$28="","",Overview!$C$28)</f>
        <v/>
      </c>
      <c r="O11" s="20" t="str">
        <f>IF(Overview!$C$29="","",Overview!$C$29)</f>
        <v/>
      </c>
      <c r="P11" s="20" t="str">
        <f>IF(Overview!$C$30="","",Overview!$C$30)</f>
        <v/>
      </c>
      <c r="Q11" s="20" t="str">
        <f>IF(Overview!$C$31="","",Overview!$C$31)</f>
        <v/>
      </c>
      <c r="R11" s="20" t="str">
        <f>IF(Overview!$C$32="","",Overview!$C$32)</f>
        <v/>
      </c>
      <c r="S11" s="20" t="s">
        <v>66</v>
      </c>
      <c r="T11" s="20" t="s">
        <v>67</v>
      </c>
      <c r="U11" s="20" t="s">
        <v>68</v>
      </c>
      <c r="V11" s="20" t="s">
        <v>69</v>
      </c>
      <c r="W11" s="20" t="s">
        <v>70</v>
      </c>
    </row>
    <row r="12" spans="3:23" x14ac:dyDescent="0.35">
      <c r="C12" s="42">
        <f>IF(OR(Overview!$D$33="",Overview!$E$33=""),"",IF(Overview!$D$33+0&gt;Overview!$E$33,"",Overview!$D$33+0))</f>
        <v>46266</v>
      </c>
      <c r="D12" s="43">
        <f t="shared" ref="D12:R21" ca="1" si="0">IF(OR($C12="",D$11=""),"",IFERROR(SUMIFS(INDIRECT("'"&amp;D$11&amp;"'!$F$14:$F$10013"),INDIRECT("'"&amp;D$11&amp;"'!$C$14:$C$10013"),$C12),""))</f>
        <v>1533.15</v>
      </c>
      <c r="E12" s="43">
        <f t="shared" ca="1" si="0"/>
        <v>893.37</v>
      </c>
      <c r="F12" s="43">
        <f t="shared" ca="1" si="0"/>
        <v>488.19</v>
      </c>
      <c r="G12" s="43">
        <f t="shared" ca="1" si="0"/>
        <v>0</v>
      </c>
      <c r="H12" s="43">
        <f t="shared" ca="1" si="0"/>
        <v>1958.22</v>
      </c>
      <c r="I12" s="43">
        <f t="shared" ca="1" si="0"/>
        <v>322.64999999999998</v>
      </c>
      <c r="J12" s="43">
        <f t="shared" ca="1" si="0"/>
        <v>1668.68</v>
      </c>
      <c r="K12" s="43">
        <f t="shared" ca="1" si="0"/>
        <v>0</v>
      </c>
      <c r="L12" s="43" t="str">
        <f t="shared" ca="1" si="0"/>
        <v/>
      </c>
      <c r="M12" s="43" t="str">
        <f t="shared" ca="1" si="0"/>
        <v/>
      </c>
      <c r="N12" s="43" t="str">
        <f t="shared" ca="1" si="0"/>
        <v/>
      </c>
      <c r="O12" s="43" t="str">
        <f t="shared" ca="1" si="0"/>
        <v/>
      </c>
      <c r="P12" s="43" t="str">
        <f t="shared" ca="1" si="0"/>
        <v/>
      </c>
      <c r="Q12" s="43" t="str">
        <f t="shared" ca="1" si="0"/>
        <v/>
      </c>
      <c r="R12" s="43" t="str">
        <f t="shared" ca="1" si="0"/>
        <v/>
      </c>
      <c r="S12" s="44">
        <f t="shared" ref="S12:S75" ca="1" si="1">IF($C12="","",SUM(D12:R12))</f>
        <v>6864.26</v>
      </c>
      <c r="T12" s="43">
        <f>IF($C12="","",SUMIFS(Overview!$G$18:$G$32,Overview!$D$18:$D$32,"&lt;="&amp;$C12,Overview!$E$18:$E$32,"&gt;="&amp;$C12))</f>
        <v>7000</v>
      </c>
      <c r="U12" s="43">
        <f ca="1">IF(OR($C12="",Overview!$I$33=""),"",IF($C12&gt;Overview!$I$33,"",SUM($S$12:S12)))</f>
        <v>6864.26</v>
      </c>
      <c r="V12" s="43">
        <f>IF($C12="","",SUM($T$12:T12))</f>
        <v>7000</v>
      </c>
      <c r="W12" s="45">
        <f t="shared" ref="W12:W75" ca="1" si="2">IF(OR(U12="",V12="",V12=0),"",U12/V12)</f>
        <v>0.9806085714285715</v>
      </c>
    </row>
    <row r="13" spans="3:23" x14ac:dyDescent="0.35">
      <c r="C13" s="42">
        <f>IF(OR(Overview!$D$33="",Overview!$E$33=""),"",IF(Overview!$D$33+1&gt;Overview!$E$33,"",Overview!$D$33+1))</f>
        <v>46267</v>
      </c>
      <c r="D13" s="43">
        <f t="shared" ca="1" si="0"/>
        <v>1645.28</v>
      </c>
      <c r="E13" s="43">
        <f t="shared" ca="1" si="0"/>
        <v>936.21</v>
      </c>
      <c r="F13" s="43">
        <f t="shared" ca="1" si="0"/>
        <v>513.66</v>
      </c>
      <c r="G13" s="43">
        <f t="shared" ca="1" si="0"/>
        <v>0</v>
      </c>
      <c r="H13" s="43">
        <f t="shared" ca="1" si="0"/>
        <v>1849.83</v>
      </c>
      <c r="I13" s="43">
        <f t="shared" ca="1" si="0"/>
        <v>428.78</v>
      </c>
      <c r="J13" s="43">
        <f t="shared" ca="1" si="0"/>
        <v>1574.18</v>
      </c>
      <c r="K13" s="43">
        <f t="shared" ca="1" si="0"/>
        <v>0</v>
      </c>
      <c r="L13" s="43" t="str">
        <f t="shared" ca="1" si="0"/>
        <v/>
      </c>
      <c r="M13" s="43" t="str">
        <f t="shared" ca="1" si="0"/>
        <v/>
      </c>
      <c r="N13" s="43" t="str">
        <f t="shared" ca="1" si="0"/>
        <v/>
      </c>
      <c r="O13" s="43" t="str">
        <f t="shared" ca="1" si="0"/>
        <v/>
      </c>
      <c r="P13" s="43" t="str">
        <f t="shared" ca="1" si="0"/>
        <v/>
      </c>
      <c r="Q13" s="43" t="str">
        <f t="shared" ca="1" si="0"/>
        <v/>
      </c>
      <c r="R13" s="43" t="str">
        <f t="shared" ca="1" si="0"/>
        <v/>
      </c>
      <c r="S13" s="44">
        <f t="shared" ca="1" si="1"/>
        <v>6947.94</v>
      </c>
      <c r="T13" s="43">
        <f>IF($C13="","",SUMIFS(Overview!$G$18:$G$32,Overview!$D$18:$D$32,"&lt;="&amp;$C13,Overview!$E$18:$E$32,"&gt;="&amp;$C13))</f>
        <v>7000</v>
      </c>
      <c r="U13" s="43">
        <f ca="1">IF(OR($C13="",Overview!$I$33=""),"",IF($C13&gt;Overview!$I$33,"",SUM($S$12:S13)))</f>
        <v>13812.2</v>
      </c>
      <c r="V13" s="43">
        <f>IF($C13="","",SUM($T$12:T13))</f>
        <v>14000</v>
      </c>
      <c r="W13" s="45">
        <f t="shared" ca="1" si="2"/>
        <v>0.98658571428571429</v>
      </c>
    </row>
    <row r="14" spans="3:23" x14ac:dyDescent="0.35">
      <c r="C14" s="42">
        <f>IF(OR(Overview!$D$33="",Overview!$E$33=""),"",IF(Overview!$D$33+2&gt;Overview!$E$33,"",Overview!$D$33+2))</f>
        <v>46268</v>
      </c>
      <c r="D14" s="43">
        <f t="shared" ca="1" si="0"/>
        <v>1678.1100000000001</v>
      </c>
      <c r="E14" s="43">
        <f t="shared" ca="1" si="0"/>
        <v>866.81999999999994</v>
      </c>
      <c r="F14" s="43">
        <f t="shared" ca="1" si="0"/>
        <v>421.58</v>
      </c>
      <c r="G14" s="43">
        <f t="shared" ca="1" si="0"/>
        <v>0</v>
      </c>
      <c r="H14" s="43">
        <f t="shared" ca="1" si="0"/>
        <v>1877.31</v>
      </c>
      <c r="I14" s="43">
        <f t="shared" ca="1" si="0"/>
        <v>384.86</v>
      </c>
      <c r="J14" s="43">
        <f t="shared" ca="1" si="0"/>
        <v>1737.35</v>
      </c>
      <c r="K14" s="43">
        <f t="shared" ca="1" si="0"/>
        <v>0</v>
      </c>
      <c r="L14" s="43" t="str">
        <f t="shared" ca="1" si="0"/>
        <v/>
      </c>
      <c r="M14" s="43" t="str">
        <f t="shared" ca="1" si="0"/>
        <v/>
      </c>
      <c r="N14" s="43" t="str">
        <f t="shared" ca="1" si="0"/>
        <v/>
      </c>
      <c r="O14" s="43" t="str">
        <f t="shared" ca="1" si="0"/>
        <v/>
      </c>
      <c r="P14" s="43" t="str">
        <f t="shared" ca="1" si="0"/>
        <v/>
      </c>
      <c r="Q14" s="43" t="str">
        <f t="shared" ca="1" si="0"/>
        <v/>
      </c>
      <c r="R14" s="43" t="str">
        <f t="shared" ca="1" si="0"/>
        <v/>
      </c>
      <c r="S14" s="44">
        <f t="shared" ca="1" si="1"/>
        <v>6966.0299999999988</v>
      </c>
      <c r="T14" s="43">
        <f>IF($C14="","",SUMIFS(Overview!$G$18:$G$32,Overview!$D$18:$D$32,"&lt;="&amp;$C14,Overview!$E$18:$E$32,"&gt;="&amp;$C14))</f>
        <v>7000</v>
      </c>
      <c r="U14" s="43">
        <f ca="1">IF(OR($C14="",Overview!$I$33=""),"",IF($C14&gt;Overview!$I$33,"",SUM($S$12:S14)))</f>
        <v>20778.23</v>
      </c>
      <c r="V14" s="43">
        <f>IF($C14="","",SUM($T$12:T14))</f>
        <v>21000</v>
      </c>
      <c r="W14" s="45">
        <f t="shared" ca="1" si="2"/>
        <v>0.98943952380952382</v>
      </c>
    </row>
    <row r="15" spans="3:23" x14ac:dyDescent="0.35">
      <c r="C15" s="42">
        <f>IF(OR(Overview!$D$33="",Overview!$E$33=""),"",IF(Overview!$D$33+3&gt;Overview!$E$33,"",Overview!$D$33+3))</f>
        <v>46269</v>
      </c>
      <c r="D15" s="43">
        <f t="shared" ca="1" si="0"/>
        <v>1521.6799999999998</v>
      </c>
      <c r="E15" s="43">
        <f t="shared" ca="1" si="0"/>
        <v>775.06000000000006</v>
      </c>
      <c r="F15" s="43">
        <f t="shared" ca="1" si="0"/>
        <v>445.71000000000004</v>
      </c>
      <c r="G15" s="43">
        <f t="shared" ca="1" si="0"/>
        <v>0</v>
      </c>
      <c r="H15" s="43">
        <f t="shared" ca="1" si="0"/>
        <v>2087.0100000000002</v>
      </c>
      <c r="I15" s="43">
        <f t="shared" ca="1" si="0"/>
        <v>419.83000000000004</v>
      </c>
      <c r="J15" s="43">
        <f t="shared" ca="1" si="0"/>
        <v>1808.2</v>
      </c>
      <c r="K15" s="43">
        <f t="shared" ca="1" si="0"/>
        <v>0</v>
      </c>
      <c r="L15" s="43" t="str">
        <f t="shared" ca="1" si="0"/>
        <v/>
      </c>
      <c r="M15" s="43" t="str">
        <f t="shared" ca="1" si="0"/>
        <v/>
      </c>
      <c r="N15" s="43" t="str">
        <f t="shared" ca="1" si="0"/>
        <v/>
      </c>
      <c r="O15" s="43" t="str">
        <f t="shared" ca="1" si="0"/>
        <v/>
      </c>
      <c r="P15" s="43" t="str">
        <f t="shared" ca="1" si="0"/>
        <v/>
      </c>
      <c r="Q15" s="43" t="str">
        <f t="shared" ca="1" si="0"/>
        <v/>
      </c>
      <c r="R15" s="43" t="str">
        <f t="shared" ca="1" si="0"/>
        <v/>
      </c>
      <c r="S15" s="44">
        <f t="shared" ca="1" si="1"/>
        <v>7057.49</v>
      </c>
      <c r="T15" s="43">
        <f>IF($C15="","",SUMIFS(Overview!$G$18:$G$32,Overview!$D$18:$D$32,"&lt;="&amp;$C15,Overview!$E$18:$E$32,"&gt;="&amp;$C15))</f>
        <v>7000</v>
      </c>
      <c r="U15" s="43">
        <f ca="1">IF(OR($C15="",Overview!$I$33=""),"",IF($C15&gt;Overview!$I$33,"",SUM($S$12:S15)))</f>
        <v>27835.72</v>
      </c>
      <c r="V15" s="43">
        <f>IF($C15="","",SUM($T$12:T15))</f>
        <v>28000</v>
      </c>
      <c r="W15" s="45">
        <f t="shared" ca="1" si="2"/>
        <v>0.99413285714285715</v>
      </c>
    </row>
    <row r="16" spans="3:23" x14ac:dyDescent="0.35">
      <c r="C16" s="42">
        <f>IF(OR(Overview!$D$33="",Overview!$E$33=""),"",IF(Overview!$D$33+4&gt;Overview!$E$33,"",Overview!$D$33+4))</f>
        <v>46270</v>
      </c>
      <c r="D16" s="43">
        <f t="shared" ca="1" si="0"/>
        <v>1493.25</v>
      </c>
      <c r="E16" s="43">
        <f t="shared" ca="1" si="0"/>
        <v>766.40000000000009</v>
      </c>
      <c r="F16" s="43">
        <f t="shared" ca="1" si="0"/>
        <v>475.18</v>
      </c>
      <c r="G16" s="43">
        <f t="shared" ca="1" si="0"/>
        <v>0</v>
      </c>
      <c r="H16" s="43">
        <f t="shared" ca="1" si="0"/>
        <v>1841.1399999999999</v>
      </c>
      <c r="I16" s="43">
        <f t="shared" ca="1" si="0"/>
        <v>372.05</v>
      </c>
      <c r="J16" s="43">
        <f t="shared" ca="1" si="0"/>
        <v>1686.39</v>
      </c>
      <c r="K16" s="43">
        <f t="shared" ca="1" si="0"/>
        <v>0</v>
      </c>
      <c r="L16" s="43" t="str">
        <f t="shared" ca="1" si="0"/>
        <v/>
      </c>
      <c r="M16" s="43" t="str">
        <f t="shared" ca="1" si="0"/>
        <v/>
      </c>
      <c r="N16" s="43" t="str">
        <f t="shared" ca="1" si="0"/>
        <v/>
      </c>
      <c r="O16" s="43" t="str">
        <f t="shared" ca="1" si="0"/>
        <v/>
      </c>
      <c r="P16" s="43" t="str">
        <f t="shared" ca="1" si="0"/>
        <v/>
      </c>
      <c r="Q16" s="43" t="str">
        <f t="shared" ca="1" si="0"/>
        <v/>
      </c>
      <c r="R16" s="43" t="str">
        <f t="shared" ca="1" si="0"/>
        <v/>
      </c>
      <c r="S16" s="44">
        <f t="shared" ca="1" si="1"/>
        <v>6634.41</v>
      </c>
      <c r="T16" s="43">
        <f>IF($C16="","",SUMIFS(Overview!$G$18:$G$32,Overview!$D$18:$D$32,"&lt;="&amp;$C16,Overview!$E$18:$E$32,"&gt;="&amp;$C16))</f>
        <v>7000</v>
      </c>
      <c r="U16" s="43">
        <f ca="1">IF(OR($C16="",Overview!$I$33=""),"",IF($C16&gt;Overview!$I$33,"",SUM($S$12:S16)))</f>
        <v>34470.130000000005</v>
      </c>
      <c r="V16" s="43">
        <f>IF($C16="","",SUM($T$12:T16))</f>
        <v>35000</v>
      </c>
      <c r="W16" s="45">
        <f t="shared" ca="1" si="2"/>
        <v>0.98486085714285732</v>
      </c>
    </row>
    <row r="17" spans="3:23" x14ac:dyDescent="0.35">
      <c r="C17" s="42">
        <f>IF(OR(Overview!$D$33="",Overview!$E$33=""),"",IF(Overview!$D$33+5&gt;Overview!$E$33,"",Overview!$D$33+5))</f>
        <v>46271</v>
      </c>
      <c r="D17" s="43">
        <f t="shared" ca="1" si="0"/>
        <v>1413.17</v>
      </c>
      <c r="E17" s="43">
        <f t="shared" ca="1" si="0"/>
        <v>931.25</v>
      </c>
      <c r="F17" s="43">
        <f t="shared" ca="1" si="0"/>
        <v>412.66</v>
      </c>
      <c r="G17" s="43">
        <f t="shared" ca="1" si="0"/>
        <v>0</v>
      </c>
      <c r="H17" s="43">
        <f t="shared" ca="1" si="0"/>
        <v>2332.69</v>
      </c>
      <c r="I17" s="43">
        <f t="shared" ca="1" si="0"/>
        <v>310.52</v>
      </c>
      <c r="J17" s="43">
        <f t="shared" ca="1" si="0"/>
        <v>1698.8</v>
      </c>
      <c r="K17" s="43">
        <f t="shared" ca="1" si="0"/>
        <v>0</v>
      </c>
      <c r="L17" s="43" t="str">
        <f t="shared" ca="1" si="0"/>
        <v/>
      </c>
      <c r="M17" s="43" t="str">
        <f t="shared" ca="1" si="0"/>
        <v/>
      </c>
      <c r="N17" s="43" t="str">
        <f t="shared" ca="1" si="0"/>
        <v/>
      </c>
      <c r="O17" s="43" t="str">
        <f t="shared" ca="1" si="0"/>
        <v/>
      </c>
      <c r="P17" s="43" t="str">
        <f t="shared" ca="1" si="0"/>
        <v/>
      </c>
      <c r="Q17" s="43" t="str">
        <f t="shared" ca="1" si="0"/>
        <v/>
      </c>
      <c r="R17" s="43" t="str">
        <f t="shared" ca="1" si="0"/>
        <v/>
      </c>
      <c r="S17" s="44">
        <f t="shared" ca="1" si="1"/>
        <v>7099.0900000000011</v>
      </c>
      <c r="T17" s="43">
        <f>IF($C17="","",SUMIFS(Overview!$G$18:$G$32,Overview!$D$18:$D$32,"&lt;="&amp;$C17,Overview!$E$18:$E$32,"&gt;="&amp;$C17))</f>
        <v>7000</v>
      </c>
      <c r="U17" s="43">
        <f ca="1">IF(OR($C17="",Overview!$I$33=""),"",IF($C17&gt;Overview!$I$33,"",SUM($S$12:S17)))</f>
        <v>41569.220000000008</v>
      </c>
      <c r="V17" s="43">
        <f>IF($C17="","",SUM($T$12:T17))</f>
        <v>42000</v>
      </c>
      <c r="W17" s="45">
        <f t="shared" ca="1" si="2"/>
        <v>0.98974333333333353</v>
      </c>
    </row>
    <row r="18" spans="3:23" x14ac:dyDescent="0.35">
      <c r="C18" s="42">
        <f>IF(OR(Overview!$D$33="",Overview!$E$33=""),"",IF(Overview!$D$33+6&gt;Overview!$E$33,"",Overview!$D$33+6))</f>
        <v>46272</v>
      </c>
      <c r="D18" s="43">
        <f t="shared" ca="1" si="0"/>
        <v>1758.1</v>
      </c>
      <c r="E18" s="43">
        <f t="shared" ca="1" si="0"/>
        <v>931.19999999999993</v>
      </c>
      <c r="F18" s="43">
        <f t="shared" ca="1" si="0"/>
        <v>468.14</v>
      </c>
      <c r="G18" s="43">
        <f t="shared" ca="1" si="0"/>
        <v>0</v>
      </c>
      <c r="H18" s="43">
        <f t="shared" ca="1" si="0"/>
        <v>1877.1000000000001</v>
      </c>
      <c r="I18" s="43">
        <f t="shared" ca="1" si="0"/>
        <v>418.58000000000004</v>
      </c>
      <c r="J18" s="43">
        <f t="shared" ca="1" si="0"/>
        <v>1782.65</v>
      </c>
      <c r="K18" s="43">
        <f t="shared" ca="1" si="0"/>
        <v>0</v>
      </c>
      <c r="L18" s="43" t="str">
        <f t="shared" ca="1" si="0"/>
        <v/>
      </c>
      <c r="M18" s="43" t="str">
        <f t="shared" ca="1" si="0"/>
        <v/>
      </c>
      <c r="N18" s="43" t="str">
        <f t="shared" ca="1" si="0"/>
        <v/>
      </c>
      <c r="O18" s="43" t="str">
        <f t="shared" ca="1" si="0"/>
        <v/>
      </c>
      <c r="P18" s="43" t="str">
        <f t="shared" ca="1" si="0"/>
        <v/>
      </c>
      <c r="Q18" s="43" t="str">
        <f t="shared" ca="1" si="0"/>
        <v/>
      </c>
      <c r="R18" s="43" t="str">
        <f t="shared" ca="1" si="0"/>
        <v/>
      </c>
      <c r="S18" s="44">
        <f t="shared" ca="1" si="1"/>
        <v>7235.77</v>
      </c>
      <c r="T18" s="43">
        <f>IF($C18="","",SUMIFS(Overview!$G$18:$G$32,Overview!$D$18:$D$32,"&lt;="&amp;$C18,Overview!$E$18:$E$32,"&gt;="&amp;$C18))</f>
        <v>7000</v>
      </c>
      <c r="U18" s="43">
        <f ca="1">IF(OR($C18="",Overview!$I$33=""),"",IF($C18&gt;Overview!$I$33,"",SUM($S$12:S18)))</f>
        <v>48804.990000000005</v>
      </c>
      <c r="V18" s="43">
        <f>IF($C18="","",SUM($T$12:T18))</f>
        <v>49000</v>
      </c>
      <c r="W18" s="45">
        <f t="shared" ca="1" si="2"/>
        <v>0.99602020408163272</v>
      </c>
    </row>
    <row r="19" spans="3:23" x14ac:dyDescent="0.35">
      <c r="C19" s="42">
        <f>IF(OR(Overview!$D$33="",Overview!$E$33=""),"",IF(Overview!$D$33+7&gt;Overview!$E$33,"",Overview!$D$33+7))</f>
        <v>46273</v>
      </c>
      <c r="D19" s="43">
        <f t="shared" ca="1" si="0"/>
        <v>1471.23</v>
      </c>
      <c r="E19" s="43">
        <f t="shared" ca="1" si="0"/>
        <v>916.77</v>
      </c>
      <c r="F19" s="43">
        <f t="shared" ca="1" si="0"/>
        <v>549.35</v>
      </c>
      <c r="G19" s="43">
        <f t="shared" ca="1" si="0"/>
        <v>0</v>
      </c>
      <c r="H19" s="43">
        <f t="shared" ca="1" si="0"/>
        <v>2155.65</v>
      </c>
      <c r="I19" s="43">
        <f t="shared" ca="1" si="0"/>
        <v>417.47</v>
      </c>
      <c r="J19" s="43">
        <f t="shared" ca="1" si="0"/>
        <v>1815.55</v>
      </c>
      <c r="K19" s="43">
        <f t="shared" ca="1" si="0"/>
        <v>0</v>
      </c>
      <c r="L19" s="43" t="str">
        <f t="shared" ca="1" si="0"/>
        <v/>
      </c>
      <c r="M19" s="43" t="str">
        <f t="shared" ca="1" si="0"/>
        <v/>
      </c>
      <c r="N19" s="43" t="str">
        <f t="shared" ca="1" si="0"/>
        <v/>
      </c>
      <c r="O19" s="43" t="str">
        <f t="shared" ca="1" si="0"/>
        <v/>
      </c>
      <c r="P19" s="43" t="str">
        <f t="shared" ca="1" si="0"/>
        <v/>
      </c>
      <c r="Q19" s="43" t="str">
        <f t="shared" ca="1" si="0"/>
        <v/>
      </c>
      <c r="R19" s="43" t="str">
        <f t="shared" ca="1" si="0"/>
        <v/>
      </c>
      <c r="S19" s="44">
        <f t="shared" ca="1" si="1"/>
        <v>7326.02</v>
      </c>
      <c r="T19" s="43">
        <f>IF($C19="","",SUMIFS(Overview!$G$18:$G$32,Overview!$D$18:$D$32,"&lt;="&amp;$C19,Overview!$E$18:$E$32,"&gt;="&amp;$C19))</f>
        <v>7000</v>
      </c>
      <c r="U19" s="43">
        <f ca="1">IF(OR($C19="",Overview!$I$33=""),"",IF($C19&gt;Overview!$I$33,"",SUM($S$12:S19)))</f>
        <v>56131.010000000009</v>
      </c>
      <c r="V19" s="43">
        <f>IF($C19="","",SUM($T$12:T19))</f>
        <v>56000</v>
      </c>
      <c r="W19" s="45">
        <f t="shared" ca="1" si="2"/>
        <v>1.0023394642857144</v>
      </c>
    </row>
    <row r="20" spans="3:23" x14ac:dyDescent="0.35">
      <c r="C20" s="42">
        <f>IF(OR(Overview!$D$33="",Overview!$E$33=""),"",IF(Overview!$D$33+8&gt;Overview!$E$33,"",Overview!$D$33+8))</f>
        <v>46274</v>
      </c>
      <c r="D20" s="43">
        <f t="shared" ca="1" si="0"/>
        <v>1873.77</v>
      </c>
      <c r="E20" s="43">
        <f t="shared" ca="1" si="0"/>
        <v>874.72</v>
      </c>
      <c r="F20" s="43">
        <f t="shared" ca="1" si="0"/>
        <v>489.83000000000004</v>
      </c>
      <c r="G20" s="43">
        <f t="shared" ca="1" si="0"/>
        <v>0</v>
      </c>
      <c r="H20" s="43">
        <f t="shared" ca="1" si="0"/>
        <v>1931.79</v>
      </c>
      <c r="I20" s="43">
        <f t="shared" ca="1" si="0"/>
        <v>406.29</v>
      </c>
      <c r="J20" s="43">
        <f t="shared" ca="1" si="0"/>
        <v>1827.8999999999999</v>
      </c>
      <c r="K20" s="43">
        <f t="shared" ca="1" si="0"/>
        <v>0</v>
      </c>
      <c r="L20" s="43" t="str">
        <f t="shared" ca="1" si="0"/>
        <v/>
      </c>
      <c r="M20" s="43" t="str">
        <f t="shared" ca="1" si="0"/>
        <v/>
      </c>
      <c r="N20" s="43" t="str">
        <f t="shared" ca="1" si="0"/>
        <v/>
      </c>
      <c r="O20" s="43" t="str">
        <f t="shared" ca="1" si="0"/>
        <v/>
      </c>
      <c r="P20" s="43" t="str">
        <f t="shared" ca="1" si="0"/>
        <v/>
      </c>
      <c r="Q20" s="43" t="str">
        <f t="shared" ca="1" si="0"/>
        <v/>
      </c>
      <c r="R20" s="43" t="str">
        <f t="shared" ca="1" si="0"/>
        <v/>
      </c>
      <c r="S20" s="44">
        <f t="shared" ca="1" si="1"/>
        <v>7404.2999999999993</v>
      </c>
      <c r="T20" s="43">
        <f>IF($C20="","",SUMIFS(Overview!$G$18:$G$32,Overview!$D$18:$D$32,"&lt;="&amp;$C20,Overview!$E$18:$E$32,"&gt;="&amp;$C20))</f>
        <v>7000</v>
      </c>
      <c r="U20" s="43">
        <f ca="1">IF(OR($C20="",Overview!$I$33=""),"",IF($C20&gt;Overview!$I$33,"",SUM($S$12:S20)))</f>
        <v>63535.310000000012</v>
      </c>
      <c r="V20" s="43">
        <f>IF($C20="","",SUM($T$12:T20))</f>
        <v>63000</v>
      </c>
      <c r="W20" s="45">
        <f t="shared" ca="1" si="2"/>
        <v>1.0084969841269844</v>
      </c>
    </row>
    <row r="21" spans="3:23" x14ac:dyDescent="0.35">
      <c r="C21" s="42">
        <f>IF(OR(Overview!$D$33="",Overview!$E$33=""),"",IF(Overview!$D$33+9&gt;Overview!$E$33,"",Overview!$D$33+9))</f>
        <v>46275</v>
      </c>
      <c r="D21" s="43">
        <f t="shared" ca="1" si="0"/>
        <v>1703.3600000000001</v>
      </c>
      <c r="E21" s="43">
        <f t="shared" ca="1" si="0"/>
        <v>987.75</v>
      </c>
      <c r="F21" s="43">
        <f t="shared" ca="1" si="0"/>
        <v>472.02</v>
      </c>
      <c r="G21" s="43">
        <f t="shared" ca="1" si="0"/>
        <v>0</v>
      </c>
      <c r="H21" s="43">
        <f t="shared" ca="1" si="0"/>
        <v>2347.1299999999997</v>
      </c>
      <c r="I21" s="43">
        <f t="shared" ca="1" si="0"/>
        <v>370.2</v>
      </c>
      <c r="J21" s="43">
        <f t="shared" ca="1" si="0"/>
        <v>1460.18</v>
      </c>
      <c r="K21" s="43">
        <f t="shared" ca="1" si="0"/>
        <v>0</v>
      </c>
      <c r="L21" s="43" t="str">
        <f t="shared" ca="1" si="0"/>
        <v/>
      </c>
      <c r="M21" s="43" t="str">
        <f t="shared" ca="1" si="0"/>
        <v/>
      </c>
      <c r="N21" s="43" t="str">
        <f t="shared" ca="1" si="0"/>
        <v/>
      </c>
      <c r="O21" s="43" t="str">
        <f t="shared" ca="1" si="0"/>
        <v/>
      </c>
      <c r="P21" s="43" t="str">
        <f t="shared" ca="1" si="0"/>
        <v/>
      </c>
      <c r="Q21" s="43" t="str">
        <f t="shared" ca="1" si="0"/>
        <v/>
      </c>
      <c r="R21" s="43" t="str">
        <f t="shared" ca="1" si="0"/>
        <v/>
      </c>
      <c r="S21" s="44">
        <f t="shared" ca="1" si="1"/>
        <v>7340.64</v>
      </c>
      <c r="T21" s="43">
        <f>IF($C21="","",SUMIFS(Overview!$G$18:$G$32,Overview!$D$18:$D$32,"&lt;="&amp;$C21,Overview!$E$18:$E$32,"&gt;="&amp;$C21))</f>
        <v>7000</v>
      </c>
      <c r="U21" s="43">
        <f ca="1">IF(OR($C21="",Overview!$I$33=""),"",IF($C21&gt;Overview!$I$33,"",SUM($S$12:S21)))</f>
        <v>70875.950000000012</v>
      </c>
      <c r="V21" s="43">
        <f>IF($C21="","",SUM($T$12:T21))</f>
        <v>70000</v>
      </c>
      <c r="W21" s="45">
        <f t="shared" ca="1" si="2"/>
        <v>1.0125135714285716</v>
      </c>
    </row>
    <row r="22" spans="3:23" x14ac:dyDescent="0.35">
      <c r="C22" s="42">
        <f>IF(OR(Overview!$D$33="",Overview!$E$33=""),"",IF(Overview!$D$33+10&gt;Overview!$E$33,"",Overview!$D$33+10))</f>
        <v>46276</v>
      </c>
      <c r="D22" s="43">
        <f t="shared" ref="D22:R31" ca="1" si="3">IF(OR($C22="",D$11=""),"",IFERROR(SUMIFS(INDIRECT("'"&amp;D$11&amp;"'!$F$14:$F$10013"),INDIRECT("'"&amp;D$11&amp;"'!$C$14:$C$10013"),$C22),""))</f>
        <v>1770.98</v>
      </c>
      <c r="E22" s="43">
        <f t="shared" ca="1" si="3"/>
        <v>870.7</v>
      </c>
      <c r="F22" s="43">
        <f t="shared" ca="1" si="3"/>
        <v>548.67000000000007</v>
      </c>
      <c r="G22" s="43">
        <f t="shared" ca="1" si="3"/>
        <v>0</v>
      </c>
      <c r="H22" s="43">
        <f t="shared" ca="1" si="3"/>
        <v>2168</v>
      </c>
      <c r="I22" s="43">
        <f t="shared" ca="1" si="3"/>
        <v>342.99</v>
      </c>
      <c r="J22" s="43">
        <f t="shared" ca="1" si="3"/>
        <v>1409.6499999999999</v>
      </c>
      <c r="K22" s="43">
        <f t="shared" ca="1" si="3"/>
        <v>0</v>
      </c>
      <c r="L22" s="43" t="str">
        <f t="shared" ca="1" si="3"/>
        <v/>
      </c>
      <c r="M22" s="43" t="str">
        <f t="shared" ca="1" si="3"/>
        <v/>
      </c>
      <c r="N22" s="43" t="str">
        <f t="shared" ca="1" si="3"/>
        <v/>
      </c>
      <c r="O22" s="43" t="str">
        <f t="shared" ca="1" si="3"/>
        <v/>
      </c>
      <c r="P22" s="43" t="str">
        <f t="shared" ca="1" si="3"/>
        <v/>
      </c>
      <c r="Q22" s="43" t="str">
        <f t="shared" ca="1" si="3"/>
        <v/>
      </c>
      <c r="R22" s="43" t="str">
        <f t="shared" ca="1" si="3"/>
        <v/>
      </c>
      <c r="S22" s="44">
        <f t="shared" ca="1" si="1"/>
        <v>7110.99</v>
      </c>
      <c r="T22" s="43">
        <f>IF($C22="","",SUMIFS(Overview!$G$18:$G$32,Overview!$D$18:$D$32,"&lt;="&amp;$C22,Overview!$E$18:$E$32,"&gt;="&amp;$C22))</f>
        <v>7000</v>
      </c>
      <c r="U22" s="43">
        <f ca="1">IF(OR($C22="",Overview!$I$33=""),"",IF($C22&gt;Overview!$I$33,"",SUM($S$12:S22)))</f>
        <v>77986.940000000017</v>
      </c>
      <c r="V22" s="43">
        <f>IF($C22="","",SUM($T$12:T22))</f>
        <v>77000</v>
      </c>
      <c r="W22" s="45">
        <f t="shared" ca="1" si="2"/>
        <v>1.0128174025974028</v>
      </c>
    </row>
    <row r="23" spans="3:23" x14ac:dyDescent="0.35">
      <c r="C23" s="42">
        <f>IF(OR(Overview!$D$33="",Overview!$E$33=""),"",IF(Overview!$D$33+11&gt;Overview!$E$33,"",Overview!$D$33+11))</f>
        <v>46277</v>
      </c>
      <c r="D23" s="43">
        <f t="shared" ca="1" si="3"/>
        <v>1789.03</v>
      </c>
      <c r="E23" s="43">
        <f t="shared" ca="1" si="3"/>
        <v>775</v>
      </c>
      <c r="F23" s="43">
        <f t="shared" ca="1" si="3"/>
        <v>546.76</v>
      </c>
      <c r="G23" s="43">
        <f t="shared" ca="1" si="3"/>
        <v>0</v>
      </c>
      <c r="H23" s="43">
        <f t="shared" ca="1" si="3"/>
        <v>1901.9100000000003</v>
      </c>
      <c r="I23" s="43">
        <f t="shared" ca="1" si="3"/>
        <v>368.84000000000003</v>
      </c>
      <c r="J23" s="43">
        <f t="shared" ca="1" si="3"/>
        <v>1829.53</v>
      </c>
      <c r="K23" s="43">
        <f t="shared" ca="1" si="3"/>
        <v>0</v>
      </c>
      <c r="L23" s="43" t="str">
        <f t="shared" ca="1" si="3"/>
        <v/>
      </c>
      <c r="M23" s="43" t="str">
        <f t="shared" ca="1" si="3"/>
        <v/>
      </c>
      <c r="N23" s="43" t="str">
        <f t="shared" ca="1" si="3"/>
        <v/>
      </c>
      <c r="O23" s="43" t="str">
        <f t="shared" ca="1" si="3"/>
        <v/>
      </c>
      <c r="P23" s="43" t="str">
        <f t="shared" ca="1" si="3"/>
        <v/>
      </c>
      <c r="Q23" s="43" t="str">
        <f t="shared" ca="1" si="3"/>
        <v/>
      </c>
      <c r="R23" s="43" t="str">
        <f t="shared" ca="1" si="3"/>
        <v/>
      </c>
      <c r="S23" s="44">
        <f t="shared" ca="1" si="1"/>
        <v>7211.0700000000006</v>
      </c>
      <c r="T23" s="43">
        <f>IF($C23="","",SUMIFS(Overview!$G$18:$G$32,Overview!$D$18:$D$32,"&lt;="&amp;$C23,Overview!$E$18:$E$32,"&gt;="&amp;$C23))</f>
        <v>7000</v>
      </c>
      <c r="U23" s="43">
        <f ca="1">IF(OR($C23="",Overview!$I$33=""),"",IF($C23&gt;Overview!$I$33,"",SUM($S$12:S23)))</f>
        <v>85198.010000000024</v>
      </c>
      <c r="V23" s="43">
        <f>IF($C23="","",SUM($T$12:T23))</f>
        <v>84000</v>
      </c>
      <c r="W23" s="45">
        <f t="shared" ca="1" si="2"/>
        <v>1.0142620238095241</v>
      </c>
    </row>
    <row r="24" spans="3:23" x14ac:dyDescent="0.35">
      <c r="C24" s="42">
        <f>IF(OR(Overview!$D$33="",Overview!$E$33=""),"",IF(Overview!$D$33+12&gt;Overview!$E$33,"",Overview!$D$33+12))</f>
        <v>46278</v>
      </c>
      <c r="D24" s="43">
        <f t="shared" ca="1" si="3"/>
        <v>1450.9</v>
      </c>
      <c r="E24" s="43">
        <f t="shared" ca="1" si="3"/>
        <v>946.31999999999994</v>
      </c>
      <c r="F24" s="43">
        <f t="shared" ca="1" si="3"/>
        <v>459.78</v>
      </c>
      <c r="G24" s="43">
        <f t="shared" ca="1" si="3"/>
        <v>0</v>
      </c>
      <c r="H24" s="43">
        <f t="shared" ca="1" si="3"/>
        <v>1805.4</v>
      </c>
      <c r="I24" s="43">
        <f t="shared" ca="1" si="3"/>
        <v>354.84000000000003</v>
      </c>
      <c r="J24" s="43">
        <f t="shared" ca="1" si="3"/>
        <v>1638.44</v>
      </c>
      <c r="K24" s="43">
        <f t="shared" ca="1" si="3"/>
        <v>0</v>
      </c>
      <c r="L24" s="43" t="str">
        <f t="shared" ca="1" si="3"/>
        <v/>
      </c>
      <c r="M24" s="43" t="str">
        <f t="shared" ca="1" si="3"/>
        <v/>
      </c>
      <c r="N24" s="43" t="str">
        <f t="shared" ca="1" si="3"/>
        <v/>
      </c>
      <c r="O24" s="43" t="str">
        <f t="shared" ca="1" si="3"/>
        <v/>
      </c>
      <c r="P24" s="43" t="str">
        <f t="shared" ca="1" si="3"/>
        <v/>
      </c>
      <c r="Q24" s="43" t="str">
        <f t="shared" ca="1" si="3"/>
        <v/>
      </c>
      <c r="R24" s="43" t="str">
        <f t="shared" ca="1" si="3"/>
        <v/>
      </c>
      <c r="S24" s="44">
        <f t="shared" ca="1" si="1"/>
        <v>6655.68</v>
      </c>
      <c r="T24" s="43">
        <f>IF($C24="","",SUMIFS(Overview!$G$18:$G$32,Overview!$D$18:$D$32,"&lt;="&amp;$C24,Overview!$E$18:$E$32,"&gt;="&amp;$C24))</f>
        <v>7000</v>
      </c>
      <c r="U24" s="43">
        <f ca="1">IF(OR($C24="",Overview!$I$33=""),"",IF($C24&gt;Overview!$I$33,"",SUM($S$12:S24)))</f>
        <v>91853.690000000031</v>
      </c>
      <c r="V24" s="43">
        <f>IF($C24="","",SUM($T$12:T24))</f>
        <v>91000</v>
      </c>
      <c r="W24" s="45">
        <f t="shared" ca="1" si="2"/>
        <v>1.0093812087912091</v>
      </c>
    </row>
    <row r="25" spans="3:23" x14ac:dyDescent="0.35">
      <c r="C25" s="42">
        <f>IF(OR(Overview!$D$33="",Overview!$E$33=""),"",IF(Overview!$D$33+13&gt;Overview!$E$33,"",Overview!$D$33+13))</f>
        <v>46279</v>
      </c>
      <c r="D25" s="43">
        <f t="shared" ca="1" si="3"/>
        <v>1707.85</v>
      </c>
      <c r="E25" s="43">
        <f t="shared" ca="1" si="3"/>
        <v>915.29</v>
      </c>
      <c r="F25" s="43">
        <f t="shared" ca="1" si="3"/>
        <v>439.53999999999996</v>
      </c>
      <c r="G25" s="43">
        <f t="shared" ca="1" si="3"/>
        <v>0</v>
      </c>
      <c r="H25" s="43">
        <f t="shared" ca="1" si="3"/>
        <v>2275.54</v>
      </c>
      <c r="I25" s="43">
        <f t="shared" ca="1" si="3"/>
        <v>391.5</v>
      </c>
      <c r="J25" s="43">
        <f t="shared" ca="1" si="3"/>
        <v>1724.8000000000002</v>
      </c>
      <c r="K25" s="43">
        <f t="shared" ca="1" si="3"/>
        <v>0</v>
      </c>
      <c r="L25" s="43" t="str">
        <f t="shared" ca="1" si="3"/>
        <v/>
      </c>
      <c r="M25" s="43" t="str">
        <f t="shared" ca="1" si="3"/>
        <v/>
      </c>
      <c r="N25" s="43" t="str">
        <f t="shared" ca="1" si="3"/>
        <v/>
      </c>
      <c r="O25" s="43" t="str">
        <f t="shared" ca="1" si="3"/>
        <v/>
      </c>
      <c r="P25" s="43" t="str">
        <f t="shared" ca="1" si="3"/>
        <v/>
      </c>
      <c r="Q25" s="43" t="str">
        <f t="shared" ca="1" si="3"/>
        <v/>
      </c>
      <c r="R25" s="43" t="str">
        <f t="shared" ca="1" si="3"/>
        <v/>
      </c>
      <c r="S25" s="44">
        <f t="shared" ca="1" si="1"/>
        <v>7454.5199999999995</v>
      </c>
      <c r="T25" s="43">
        <f>IF($C25="","",SUMIFS(Overview!$G$18:$G$32,Overview!$D$18:$D$32,"&lt;="&amp;$C25,Overview!$E$18:$E$32,"&gt;="&amp;$C25))</f>
        <v>7000</v>
      </c>
      <c r="U25" s="43">
        <f ca="1">IF(OR($C25="",Overview!$I$33=""),"",IF($C25&gt;Overview!$I$33,"",SUM($S$12:S25)))</f>
        <v>99308.210000000036</v>
      </c>
      <c r="V25" s="43">
        <f>IF($C25="","",SUM($T$12:T25))</f>
        <v>98000</v>
      </c>
      <c r="W25" s="45">
        <f t="shared" ca="1" si="2"/>
        <v>1.0133490816326534</v>
      </c>
    </row>
    <row r="26" spans="3:23" x14ac:dyDescent="0.35">
      <c r="C26" s="42">
        <f>IF(OR(Overview!$D$33="",Overview!$E$33=""),"",IF(Overview!$D$33+14&gt;Overview!$E$33,"",Overview!$D$33+14))</f>
        <v>46280</v>
      </c>
      <c r="D26" s="43">
        <f t="shared" ca="1" si="3"/>
        <v>1591.94</v>
      </c>
      <c r="E26" s="43">
        <f t="shared" ca="1" si="3"/>
        <v>849.9</v>
      </c>
      <c r="F26" s="43">
        <f t="shared" ca="1" si="3"/>
        <v>396.3</v>
      </c>
      <c r="G26" s="43">
        <f t="shared" ca="1" si="3"/>
        <v>0</v>
      </c>
      <c r="H26" s="43">
        <f t="shared" ca="1" si="3"/>
        <v>2422.4399999999996</v>
      </c>
      <c r="I26" s="43">
        <f t="shared" ca="1" si="3"/>
        <v>364.07</v>
      </c>
      <c r="J26" s="43">
        <f t="shared" ca="1" si="3"/>
        <v>1667.07</v>
      </c>
      <c r="K26" s="43">
        <f t="shared" ca="1" si="3"/>
        <v>0</v>
      </c>
      <c r="L26" s="43" t="str">
        <f t="shared" ca="1" si="3"/>
        <v/>
      </c>
      <c r="M26" s="43" t="str">
        <f t="shared" ca="1" si="3"/>
        <v/>
      </c>
      <c r="N26" s="43" t="str">
        <f t="shared" ca="1" si="3"/>
        <v/>
      </c>
      <c r="O26" s="43" t="str">
        <f t="shared" ca="1" si="3"/>
        <v/>
      </c>
      <c r="P26" s="43" t="str">
        <f t="shared" ca="1" si="3"/>
        <v/>
      </c>
      <c r="Q26" s="43" t="str">
        <f t="shared" ca="1" si="3"/>
        <v/>
      </c>
      <c r="R26" s="43" t="str">
        <f t="shared" ca="1" si="3"/>
        <v/>
      </c>
      <c r="S26" s="44">
        <f t="shared" ca="1" si="1"/>
        <v>7291.7199999999993</v>
      </c>
      <c r="T26" s="43">
        <f>IF($C26="","",SUMIFS(Overview!$G$18:$G$32,Overview!$D$18:$D$32,"&lt;="&amp;$C26,Overview!$E$18:$E$32,"&gt;="&amp;$C26))</f>
        <v>7000</v>
      </c>
      <c r="U26" s="43">
        <f ca="1">IF(OR($C26="",Overview!$I$33=""),"",IF($C26&gt;Overview!$I$33,"",SUM($S$12:S26)))</f>
        <v>106599.93000000004</v>
      </c>
      <c r="V26" s="43">
        <f>IF($C26="","",SUM($T$12:T26))</f>
        <v>105000</v>
      </c>
      <c r="W26" s="45">
        <f t="shared" ca="1" si="2"/>
        <v>1.015237428571429</v>
      </c>
    </row>
    <row r="27" spans="3:23" x14ac:dyDescent="0.35">
      <c r="C27" s="42">
        <f>IF(OR(Overview!$D$33="",Overview!$E$33=""),"",IF(Overview!$D$33+15&gt;Overview!$E$33,"",Overview!$D$33+15))</f>
        <v>46281</v>
      </c>
      <c r="D27" s="43">
        <f t="shared" ca="1" si="3"/>
        <v>1721.97</v>
      </c>
      <c r="E27" s="43">
        <f t="shared" ca="1" si="3"/>
        <v>741.07999999999993</v>
      </c>
      <c r="F27" s="43">
        <f t="shared" ca="1" si="3"/>
        <v>420.96</v>
      </c>
      <c r="G27" s="43">
        <f t="shared" ca="1" si="3"/>
        <v>0</v>
      </c>
      <c r="H27" s="43">
        <f t="shared" ca="1" si="3"/>
        <v>1842.35</v>
      </c>
      <c r="I27" s="43">
        <f t="shared" ca="1" si="3"/>
        <v>418.24</v>
      </c>
      <c r="J27" s="43">
        <f t="shared" ca="1" si="3"/>
        <v>1818.32</v>
      </c>
      <c r="K27" s="43">
        <f t="shared" ca="1" si="3"/>
        <v>0</v>
      </c>
      <c r="L27" s="43" t="str">
        <f t="shared" ca="1" si="3"/>
        <v/>
      </c>
      <c r="M27" s="43" t="str">
        <f t="shared" ca="1" si="3"/>
        <v/>
      </c>
      <c r="N27" s="43" t="str">
        <f t="shared" ca="1" si="3"/>
        <v/>
      </c>
      <c r="O27" s="43" t="str">
        <f t="shared" ca="1" si="3"/>
        <v/>
      </c>
      <c r="P27" s="43" t="str">
        <f t="shared" ca="1" si="3"/>
        <v/>
      </c>
      <c r="Q27" s="43" t="str">
        <f t="shared" ca="1" si="3"/>
        <v/>
      </c>
      <c r="R27" s="43" t="str">
        <f t="shared" ca="1" si="3"/>
        <v/>
      </c>
      <c r="S27" s="44">
        <f t="shared" ca="1" si="1"/>
        <v>6962.92</v>
      </c>
      <c r="T27" s="43">
        <f>IF($C27="","",SUMIFS(Overview!$G$18:$G$32,Overview!$D$18:$D$32,"&lt;="&amp;$C27,Overview!$E$18:$E$32,"&gt;="&amp;$C27))</f>
        <v>7000</v>
      </c>
      <c r="U27" s="43">
        <f ca="1">IF(OR($C27="",Overview!$I$33=""),"",IF($C27&gt;Overview!$I$33,"",SUM($S$12:S27)))</f>
        <v>113562.85000000003</v>
      </c>
      <c r="V27" s="43">
        <f>IF($C27="","",SUM($T$12:T27))</f>
        <v>112000</v>
      </c>
      <c r="W27" s="45">
        <f t="shared" ca="1" si="2"/>
        <v>1.0139540178571431</v>
      </c>
    </row>
    <row r="28" spans="3:23" x14ac:dyDescent="0.35">
      <c r="C28" s="42">
        <f>IF(OR(Overview!$D$33="",Overview!$E$33=""),"",IF(Overview!$D$33+16&gt;Overview!$E$33,"",Overview!$D$33+16))</f>
        <v>46282</v>
      </c>
      <c r="D28" s="43">
        <f t="shared" ca="1" si="3"/>
        <v>1600.56</v>
      </c>
      <c r="E28" s="43">
        <f t="shared" ca="1" si="3"/>
        <v>740.55000000000007</v>
      </c>
      <c r="F28" s="43">
        <f t="shared" ca="1" si="3"/>
        <v>429.97</v>
      </c>
      <c r="G28" s="43">
        <f t="shared" ca="1" si="3"/>
        <v>0</v>
      </c>
      <c r="H28" s="43">
        <f t="shared" ca="1" si="3"/>
        <v>1865.7</v>
      </c>
      <c r="I28" s="43">
        <f t="shared" ca="1" si="3"/>
        <v>409.64</v>
      </c>
      <c r="J28" s="43">
        <f t="shared" ca="1" si="3"/>
        <v>1550.51</v>
      </c>
      <c r="K28" s="43">
        <f t="shared" ca="1" si="3"/>
        <v>0</v>
      </c>
      <c r="L28" s="43" t="str">
        <f t="shared" ca="1" si="3"/>
        <v/>
      </c>
      <c r="M28" s="43" t="str">
        <f t="shared" ca="1" si="3"/>
        <v/>
      </c>
      <c r="N28" s="43" t="str">
        <f t="shared" ca="1" si="3"/>
        <v/>
      </c>
      <c r="O28" s="43" t="str">
        <f t="shared" ca="1" si="3"/>
        <v/>
      </c>
      <c r="P28" s="43" t="str">
        <f t="shared" ca="1" si="3"/>
        <v/>
      </c>
      <c r="Q28" s="43" t="str">
        <f t="shared" ca="1" si="3"/>
        <v/>
      </c>
      <c r="R28" s="43" t="str">
        <f t="shared" ca="1" si="3"/>
        <v/>
      </c>
      <c r="S28" s="44">
        <f t="shared" ca="1" si="1"/>
        <v>6596.93</v>
      </c>
      <c r="T28" s="43">
        <f>IF($C28="","",SUMIFS(Overview!$G$18:$G$32,Overview!$D$18:$D$32,"&lt;="&amp;$C28,Overview!$E$18:$E$32,"&gt;="&amp;$C28))</f>
        <v>7000</v>
      </c>
      <c r="U28" s="43">
        <f ca="1">IF(OR($C28="",Overview!$I$33=""),"",IF($C28&gt;Overview!$I$33,"",SUM($S$12:S28)))</f>
        <v>120159.78000000003</v>
      </c>
      <c r="V28" s="43">
        <f>IF($C28="","",SUM($T$12:T28))</f>
        <v>119000</v>
      </c>
      <c r="W28" s="45">
        <f t="shared" ca="1" si="2"/>
        <v>1.0097460504201683</v>
      </c>
    </row>
    <row r="29" spans="3:23" x14ac:dyDescent="0.35">
      <c r="C29" s="42">
        <f>IF(OR(Overview!$D$33="",Overview!$E$33=""),"",IF(Overview!$D$33+17&gt;Overview!$E$33,"",Overview!$D$33+17))</f>
        <v>46283</v>
      </c>
      <c r="D29" s="43">
        <f t="shared" ca="1" si="3"/>
        <v>1440.3400000000001</v>
      </c>
      <c r="E29" s="43">
        <f t="shared" ca="1" si="3"/>
        <v>781.48</v>
      </c>
      <c r="F29" s="43">
        <f t="shared" ca="1" si="3"/>
        <v>394.2</v>
      </c>
      <c r="G29" s="43">
        <f t="shared" ca="1" si="3"/>
        <v>0</v>
      </c>
      <c r="H29" s="43">
        <f t="shared" ca="1" si="3"/>
        <v>2271.1</v>
      </c>
      <c r="I29" s="43">
        <f t="shared" ca="1" si="3"/>
        <v>379.65</v>
      </c>
      <c r="J29" s="43">
        <f t="shared" ca="1" si="3"/>
        <v>1510.34</v>
      </c>
      <c r="K29" s="43">
        <f t="shared" ca="1" si="3"/>
        <v>0</v>
      </c>
      <c r="L29" s="43" t="str">
        <f t="shared" ca="1" si="3"/>
        <v/>
      </c>
      <c r="M29" s="43" t="str">
        <f t="shared" ca="1" si="3"/>
        <v/>
      </c>
      <c r="N29" s="43" t="str">
        <f t="shared" ca="1" si="3"/>
        <v/>
      </c>
      <c r="O29" s="43" t="str">
        <f t="shared" ca="1" si="3"/>
        <v/>
      </c>
      <c r="P29" s="43" t="str">
        <f t="shared" ca="1" si="3"/>
        <v/>
      </c>
      <c r="Q29" s="43" t="str">
        <f t="shared" ca="1" si="3"/>
        <v/>
      </c>
      <c r="R29" s="43" t="str">
        <f t="shared" ca="1" si="3"/>
        <v/>
      </c>
      <c r="S29" s="44">
        <f t="shared" ca="1" si="1"/>
        <v>6777.11</v>
      </c>
      <c r="T29" s="43">
        <f>IF($C29="","",SUMIFS(Overview!$G$18:$G$32,Overview!$D$18:$D$32,"&lt;="&amp;$C29,Overview!$E$18:$E$32,"&gt;="&amp;$C29))</f>
        <v>7000</v>
      </c>
      <c r="U29" s="43">
        <f ca="1">IF(OR($C29="",Overview!$I$33=""),"",IF($C29&gt;Overview!$I$33,"",SUM($S$12:S29)))</f>
        <v>126936.89000000003</v>
      </c>
      <c r="V29" s="43">
        <f>IF($C29="","",SUM($T$12:T29))</f>
        <v>126000</v>
      </c>
      <c r="W29" s="45">
        <f t="shared" ca="1" si="2"/>
        <v>1.007435634920635</v>
      </c>
    </row>
    <row r="30" spans="3:23" x14ac:dyDescent="0.35">
      <c r="C30" s="42">
        <f>IF(OR(Overview!$D$33="",Overview!$E$33=""),"",IF(Overview!$D$33+18&gt;Overview!$E$33,"",Overview!$D$33+18))</f>
        <v>46284</v>
      </c>
      <c r="D30" s="43">
        <f t="shared" ca="1" si="3"/>
        <v>1753.9099999999999</v>
      </c>
      <c r="E30" s="43">
        <f t="shared" ca="1" si="3"/>
        <v>744.7</v>
      </c>
      <c r="F30" s="43">
        <f t="shared" ca="1" si="3"/>
        <v>421.09000000000003</v>
      </c>
      <c r="G30" s="43">
        <f t="shared" ca="1" si="3"/>
        <v>0</v>
      </c>
      <c r="H30" s="43">
        <f t="shared" ca="1" si="3"/>
        <v>2137.9300000000003</v>
      </c>
      <c r="I30" s="43">
        <f t="shared" ca="1" si="3"/>
        <v>334.57000000000005</v>
      </c>
      <c r="J30" s="43">
        <f t="shared" ca="1" si="3"/>
        <v>1609.81</v>
      </c>
      <c r="K30" s="43">
        <f t="shared" ca="1" si="3"/>
        <v>0</v>
      </c>
      <c r="L30" s="43" t="str">
        <f t="shared" ca="1" si="3"/>
        <v/>
      </c>
      <c r="M30" s="43" t="str">
        <f t="shared" ca="1" si="3"/>
        <v/>
      </c>
      <c r="N30" s="43" t="str">
        <f t="shared" ca="1" si="3"/>
        <v/>
      </c>
      <c r="O30" s="43" t="str">
        <f t="shared" ca="1" si="3"/>
        <v/>
      </c>
      <c r="P30" s="43" t="str">
        <f t="shared" ca="1" si="3"/>
        <v/>
      </c>
      <c r="Q30" s="43" t="str">
        <f t="shared" ca="1" si="3"/>
        <v/>
      </c>
      <c r="R30" s="43" t="str">
        <f t="shared" ca="1" si="3"/>
        <v/>
      </c>
      <c r="S30" s="44">
        <f t="shared" ca="1" si="1"/>
        <v>7002.01</v>
      </c>
      <c r="T30" s="43">
        <f>IF($C30="","",SUMIFS(Overview!$G$18:$G$32,Overview!$D$18:$D$32,"&lt;="&amp;$C30,Overview!$E$18:$E$32,"&gt;="&amp;$C30))</f>
        <v>7000</v>
      </c>
      <c r="U30" s="43">
        <f ca="1">IF(OR($C30="",Overview!$I$33=""),"",IF($C30&gt;Overview!$I$33,"",SUM($S$12:S30)))</f>
        <v>133938.90000000002</v>
      </c>
      <c r="V30" s="43">
        <f>IF($C30="","",SUM($T$12:T30))</f>
        <v>133000</v>
      </c>
      <c r="W30" s="45">
        <f t="shared" ca="1" si="2"/>
        <v>1.0070593984962408</v>
      </c>
    </row>
    <row r="31" spans="3:23" x14ac:dyDescent="0.35">
      <c r="C31" s="42">
        <f>IF(OR(Overview!$D$33="",Overview!$E$33=""),"",IF(Overview!$D$33+19&gt;Overview!$E$33,"",Overview!$D$33+19))</f>
        <v>46285</v>
      </c>
      <c r="D31" s="43">
        <f t="shared" ca="1" si="3"/>
        <v>1647.44</v>
      </c>
      <c r="E31" s="43">
        <f t="shared" ca="1" si="3"/>
        <v>872.06999999999994</v>
      </c>
      <c r="F31" s="43">
        <f t="shared" ca="1" si="3"/>
        <v>445.94</v>
      </c>
      <c r="G31" s="43">
        <f t="shared" ca="1" si="3"/>
        <v>0</v>
      </c>
      <c r="H31" s="43">
        <f t="shared" ca="1" si="3"/>
        <v>2302.7400000000002</v>
      </c>
      <c r="I31" s="43">
        <f t="shared" ca="1" si="3"/>
        <v>344.40999999999997</v>
      </c>
      <c r="J31" s="43">
        <f t="shared" ca="1" si="3"/>
        <v>1498.17</v>
      </c>
      <c r="K31" s="43">
        <f t="shared" ca="1" si="3"/>
        <v>0</v>
      </c>
      <c r="L31" s="43" t="str">
        <f t="shared" ca="1" si="3"/>
        <v/>
      </c>
      <c r="M31" s="43" t="str">
        <f t="shared" ca="1" si="3"/>
        <v/>
      </c>
      <c r="N31" s="43" t="str">
        <f t="shared" ca="1" si="3"/>
        <v/>
      </c>
      <c r="O31" s="43" t="str">
        <f t="shared" ca="1" si="3"/>
        <v/>
      </c>
      <c r="P31" s="43" t="str">
        <f t="shared" ca="1" si="3"/>
        <v/>
      </c>
      <c r="Q31" s="43" t="str">
        <f t="shared" ca="1" si="3"/>
        <v/>
      </c>
      <c r="R31" s="43" t="str">
        <f t="shared" ca="1" si="3"/>
        <v/>
      </c>
      <c r="S31" s="44">
        <f t="shared" ca="1" si="1"/>
        <v>7110.77</v>
      </c>
      <c r="T31" s="43">
        <f>IF($C31="","",SUMIFS(Overview!$G$18:$G$32,Overview!$D$18:$D$32,"&lt;="&amp;$C31,Overview!$E$18:$E$32,"&gt;="&amp;$C31))</f>
        <v>7000</v>
      </c>
      <c r="U31" s="43">
        <f ca="1">IF(OR($C31="",Overview!$I$33=""),"",IF($C31&gt;Overview!$I$33,"",SUM($S$12:S31)))</f>
        <v>141049.67000000001</v>
      </c>
      <c r="V31" s="43">
        <f>IF($C31="","",SUM($T$12:T31))</f>
        <v>140000</v>
      </c>
      <c r="W31" s="45">
        <f t="shared" ca="1" si="2"/>
        <v>1.0074976428571429</v>
      </c>
    </row>
    <row r="32" spans="3:23" x14ac:dyDescent="0.35">
      <c r="C32" s="42">
        <f>IF(OR(Overview!$D$33="",Overview!$E$33=""),"",IF(Overview!$D$33+20&gt;Overview!$E$33,"",Overview!$D$33+20))</f>
        <v>46286</v>
      </c>
      <c r="D32" s="43">
        <f t="shared" ref="D32:R41" ca="1" si="4">IF(OR($C32="",D$11=""),"",IFERROR(SUMIFS(INDIRECT("'"&amp;D$11&amp;"'!$F$14:$F$10013"),INDIRECT("'"&amp;D$11&amp;"'!$C$14:$C$10013"),$C32),""))</f>
        <v>1626.44</v>
      </c>
      <c r="E32" s="43">
        <f t="shared" ca="1" si="4"/>
        <v>753.76</v>
      </c>
      <c r="F32" s="43">
        <f t="shared" ca="1" si="4"/>
        <v>470.62</v>
      </c>
      <c r="G32" s="43">
        <f t="shared" ca="1" si="4"/>
        <v>0</v>
      </c>
      <c r="H32" s="43">
        <f t="shared" ca="1" si="4"/>
        <v>2028.7</v>
      </c>
      <c r="I32" s="43">
        <f t="shared" ca="1" si="4"/>
        <v>373.82</v>
      </c>
      <c r="J32" s="43">
        <f t="shared" ca="1" si="4"/>
        <v>1616.9199999999998</v>
      </c>
      <c r="K32" s="43">
        <f t="shared" ca="1" si="4"/>
        <v>0</v>
      </c>
      <c r="L32" s="43" t="str">
        <f t="shared" ca="1" si="4"/>
        <v/>
      </c>
      <c r="M32" s="43" t="str">
        <f t="shared" ca="1" si="4"/>
        <v/>
      </c>
      <c r="N32" s="43" t="str">
        <f t="shared" ca="1" si="4"/>
        <v/>
      </c>
      <c r="O32" s="43" t="str">
        <f t="shared" ca="1" si="4"/>
        <v/>
      </c>
      <c r="P32" s="43" t="str">
        <f t="shared" ca="1" si="4"/>
        <v/>
      </c>
      <c r="Q32" s="43" t="str">
        <f t="shared" ca="1" si="4"/>
        <v/>
      </c>
      <c r="R32" s="43" t="str">
        <f t="shared" ca="1" si="4"/>
        <v/>
      </c>
      <c r="S32" s="44">
        <f t="shared" ca="1" si="1"/>
        <v>6870.2599999999993</v>
      </c>
      <c r="T32" s="43">
        <f>IF($C32="","",SUMIFS(Overview!$G$18:$G$32,Overview!$D$18:$D$32,"&lt;="&amp;$C32,Overview!$E$18:$E$32,"&gt;="&amp;$C32))</f>
        <v>7000</v>
      </c>
      <c r="U32" s="43">
        <f ca="1">IF(OR($C32="",Overview!$I$33=""),"",IF($C32&gt;Overview!$I$33,"",SUM($S$12:S32)))</f>
        <v>147919.93000000002</v>
      </c>
      <c r="V32" s="43">
        <f>IF($C32="","",SUM($T$12:T32))</f>
        <v>147000</v>
      </c>
      <c r="W32" s="45">
        <f t="shared" ca="1" si="2"/>
        <v>1.0062580272108845</v>
      </c>
    </row>
    <row r="33" spans="3:23" x14ac:dyDescent="0.35">
      <c r="C33" s="42">
        <f>IF(OR(Overview!$D$33="",Overview!$E$33=""),"",IF(Overview!$D$33+21&gt;Overview!$E$33,"",Overview!$D$33+21))</f>
        <v>46287</v>
      </c>
      <c r="D33" s="43">
        <f t="shared" ca="1" si="4"/>
        <v>1874.2399999999998</v>
      </c>
      <c r="E33" s="43">
        <f t="shared" ca="1" si="4"/>
        <v>911.48</v>
      </c>
      <c r="F33" s="43">
        <f t="shared" ca="1" si="4"/>
        <v>438.82</v>
      </c>
      <c r="G33" s="43">
        <f t="shared" ca="1" si="4"/>
        <v>0</v>
      </c>
      <c r="H33" s="43">
        <f t="shared" ca="1" si="4"/>
        <v>2072.9</v>
      </c>
      <c r="I33" s="43">
        <f t="shared" ca="1" si="4"/>
        <v>354.52</v>
      </c>
      <c r="J33" s="43">
        <f t="shared" ca="1" si="4"/>
        <v>1926.3799999999999</v>
      </c>
      <c r="K33" s="43">
        <f t="shared" ca="1" si="4"/>
        <v>0</v>
      </c>
      <c r="L33" s="43" t="str">
        <f t="shared" ca="1" si="4"/>
        <v/>
      </c>
      <c r="M33" s="43" t="str">
        <f t="shared" ca="1" si="4"/>
        <v/>
      </c>
      <c r="N33" s="43" t="str">
        <f t="shared" ca="1" si="4"/>
        <v/>
      </c>
      <c r="O33" s="43" t="str">
        <f t="shared" ca="1" si="4"/>
        <v/>
      </c>
      <c r="P33" s="43" t="str">
        <f t="shared" ca="1" si="4"/>
        <v/>
      </c>
      <c r="Q33" s="43" t="str">
        <f t="shared" ca="1" si="4"/>
        <v/>
      </c>
      <c r="R33" s="43" t="str">
        <f t="shared" ca="1" si="4"/>
        <v/>
      </c>
      <c r="S33" s="44">
        <f t="shared" ca="1" si="1"/>
        <v>7578.3400000000011</v>
      </c>
      <c r="T33" s="43">
        <f>IF($C33="","",SUMIFS(Overview!$G$18:$G$32,Overview!$D$18:$D$32,"&lt;="&amp;$C33,Overview!$E$18:$E$32,"&gt;="&amp;$C33))</f>
        <v>7000</v>
      </c>
      <c r="U33" s="43">
        <f ca="1">IF(OR($C33="",Overview!$I$33=""),"",IF($C33&gt;Overview!$I$33,"",SUM($S$12:S33)))</f>
        <v>155498.27000000002</v>
      </c>
      <c r="V33" s="43">
        <f>IF($C33="","",SUM($T$12:T33))</f>
        <v>154000</v>
      </c>
      <c r="W33" s="45">
        <f t="shared" ca="1" si="2"/>
        <v>1.0097290259740261</v>
      </c>
    </row>
    <row r="34" spans="3:23" x14ac:dyDescent="0.35">
      <c r="C34" s="42">
        <f>IF(OR(Overview!$D$33="",Overview!$E$33=""),"",IF(Overview!$D$33+22&gt;Overview!$E$33,"",Overview!$D$33+22))</f>
        <v>46288</v>
      </c>
      <c r="D34" s="43">
        <f t="shared" ca="1" si="4"/>
        <v>1615.83</v>
      </c>
      <c r="E34" s="43">
        <f t="shared" ca="1" si="4"/>
        <v>974.44</v>
      </c>
      <c r="F34" s="43">
        <f t="shared" ca="1" si="4"/>
        <v>437.70000000000005</v>
      </c>
      <c r="G34" s="43">
        <f t="shared" ca="1" si="4"/>
        <v>0</v>
      </c>
      <c r="H34" s="43">
        <f t="shared" ca="1" si="4"/>
        <v>2073.38</v>
      </c>
      <c r="I34" s="43">
        <f t="shared" ca="1" si="4"/>
        <v>395.35</v>
      </c>
      <c r="J34" s="43">
        <f t="shared" ca="1" si="4"/>
        <v>1418.3899999999999</v>
      </c>
      <c r="K34" s="43">
        <f t="shared" ca="1" si="4"/>
        <v>0</v>
      </c>
      <c r="L34" s="43" t="str">
        <f t="shared" ca="1" si="4"/>
        <v/>
      </c>
      <c r="M34" s="43" t="str">
        <f t="shared" ca="1" si="4"/>
        <v/>
      </c>
      <c r="N34" s="43" t="str">
        <f t="shared" ca="1" si="4"/>
        <v/>
      </c>
      <c r="O34" s="43" t="str">
        <f t="shared" ca="1" si="4"/>
        <v/>
      </c>
      <c r="P34" s="43" t="str">
        <f t="shared" ca="1" si="4"/>
        <v/>
      </c>
      <c r="Q34" s="43" t="str">
        <f t="shared" ca="1" si="4"/>
        <v/>
      </c>
      <c r="R34" s="43" t="str">
        <f t="shared" ca="1" si="4"/>
        <v/>
      </c>
      <c r="S34" s="44">
        <f t="shared" ca="1" si="1"/>
        <v>6915.09</v>
      </c>
      <c r="T34" s="43">
        <f>IF($C34="","",SUMIFS(Overview!$G$18:$G$32,Overview!$D$18:$D$32,"&lt;="&amp;$C34,Overview!$E$18:$E$32,"&gt;="&amp;$C34))</f>
        <v>7000</v>
      </c>
      <c r="U34" s="43">
        <f ca="1">IF(OR($C34="",Overview!$I$33=""),"",IF($C34&gt;Overview!$I$33,"",SUM($S$12:S34)))</f>
        <v>162413.36000000002</v>
      </c>
      <c r="V34" s="43">
        <f>IF($C34="","",SUM($T$12:T34))</f>
        <v>161000</v>
      </c>
      <c r="W34" s="45">
        <f t="shared" ca="1" si="2"/>
        <v>1.0087786335403728</v>
      </c>
    </row>
    <row r="35" spans="3:23" x14ac:dyDescent="0.35">
      <c r="C35" s="42">
        <f>IF(OR(Overview!$D$33="",Overview!$E$33=""),"",IF(Overview!$D$33+23&gt;Overview!$E$33,"",Overview!$D$33+23))</f>
        <v>46289</v>
      </c>
      <c r="D35" s="43">
        <f t="shared" ca="1" si="4"/>
        <v>1812.32</v>
      </c>
      <c r="E35" s="43">
        <f t="shared" ca="1" si="4"/>
        <v>797.9</v>
      </c>
      <c r="F35" s="43">
        <f t="shared" ca="1" si="4"/>
        <v>556.69000000000005</v>
      </c>
      <c r="G35" s="43">
        <f t="shared" ca="1" si="4"/>
        <v>0</v>
      </c>
      <c r="H35" s="43">
        <f t="shared" ca="1" si="4"/>
        <v>2178.1799999999998</v>
      </c>
      <c r="I35" s="43">
        <f t="shared" ca="1" si="4"/>
        <v>367.84000000000003</v>
      </c>
      <c r="J35" s="43">
        <f t="shared" ca="1" si="4"/>
        <v>1612.76</v>
      </c>
      <c r="K35" s="43">
        <f t="shared" ca="1" si="4"/>
        <v>0</v>
      </c>
      <c r="L35" s="43" t="str">
        <f t="shared" ca="1" si="4"/>
        <v/>
      </c>
      <c r="M35" s="43" t="str">
        <f t="shared" ca="1" si="4"/>
        <v/>
      </c>
      <c r="N35" s="43" t="str">
        <f t="shared" ca="1" si="4"/>
        <v/>
      </c>
      <c r="O35" s="43" t="str">
        <f t="shared" ca="1" si="4"/>
        <v/>
      </c>
      <c r="P35" s="43" t="str">
        <f t="shared" ca="1" si="4"/>
        <v/>
      </c>
      <c r="Q35" s="43" t="str">
        <f t="shared" ca="1" si="4"/>
        <v/>
      </c>
      <c r="R35" s="43" t="str">
        <f t="shared" ca="1" si="4"/>
        <v/>
      </c>
      <c r="S35" s="44">
        <f t="shared" ca="1" si="1"/>
        <v>7325.6900000000005</v>
      </c>
      <c r="T35" s="43">
        <f>IF($C35="","",SUMIFS(Overview!$G$18:$G$32,Overview!$D$18:$D$32,"&lt;="&amp;$C35,Overview!$E$18:$E$32,"&gt;="&amp;$C35))</f>
        <v>7000</v>
      </c>
      <c r="U35" s="43">
        <f ca="1">IF(OR($C35="",Overview!$I$33=""),"",IF($C35&gt;Overview!$I$33,"",SUM($S$12:S35)))</f>
        <v>169739.05000000002</v>
      </c>
      <c r="V35" s="43">
        <f>IF($C35="","",SUM($T$12:T35))</f>
        <v>168000</v>
      </c>
      <c r="W35" s="45">
        <f t="shared" ca="1" si="2"/>
        <v>1.0103514880952382</v>
      </c>
    </row>
    <row r="36" spans="3:23" x14ac:dyDescent="0.35">
      <c r="C36" s="42">
        <f>IF(OR(Overview!$D$33="",Overview!$E$33=""),"",IF(Overview!$D$33+24&gt;Overview!$E$33,"",Overview!$D$33+24))</f>
        <v>46290</v>
      </c>
      <c r="D36" s="43">
        <f t="shared" ca="1" si="4"/>
        <v>0</v>
      </c>
      <c r="E36" s="43">
        <f t="shared" ca="1" si="4"/>
        <v>0</v>
      </c>
      <c r="F36" s="43">
        <f t="shared" ca="1" si="4"/>
        <v>0</v>
      </c>
      <c r="G36" s="43">
        <f t="shared" ca="1" si="4"/>
        <v>0</v>
      </c>
      <c r="H36" s="43">
        <f t="shared" ca="1" si="4"/>
        <v>0</v>
      </c>
      <c r="I36" s="43">
        <f t="shared" ca="1" si="4"/>
        <v>0</v>
      </c>
      <c r="J36" s="43">
        <f t="shared" ca="1" si="4"/>
        <v>0</v>
      </c>
      <c r="K36" s="43">
        <f t="shared" ca="1" si="4"/>
        <v>0</v>
      </c>
      <c r="L36" s="43" t="str">
        <f t="shared" ca="1" si="4"/>
        <v/>
      </c>
      <c r="M36" s="43" t="str">
        <f t="shared" ca="1" si="4"/>
        <v/>
      </c>
      <c r="N36" s="43" t="str">
        <f t="shared" ca="1" si="4"/>
        <v/>
      </c>
      <c r="O36" s="43" t="str">
        <f t="shared" ca="1" si="4"/>
        <v/>
      </c>
      <c r="P36" s="43" t="str">
        <f t="shared" ca="1" si="4"/>
        <v/>
      </c>
      <c r="Q36" s="43" t="str">
        <f t="shared" ca="1" si="4"/>
        <v/>
      </c>
      <c r="R36" s="43" t="str">
        <f t="shared" ca="1" si="4"/>
        <v/>
      </c>
      <c r="S36" s="44">
        <f t="shared" ca="1" si="1"/>
        <v>0</v>
      </c>
      <c r="T36" s="43">
        <f>IF($C36="","",SUMIFS(Overview!$G$18:$G$32,Overview!$D$18:$D$32,"&lt;="&amp;$C36,Overview!$E$18:$E$32,"&gt;="&amp;$C36))</f>
        <v>7000</v>
      </c>
      <c r="U36" s="43" t="str">
        <f ca="1">IF(OR($C36="",Overview!$I$33=""),"",IF($C36&gt;Overview!$I$33,"",SUM($S$12:S36)))</f>
        <v/>
      </c>
      <c r="V36" s="43">
        <f>IF($C36="","",SUM($T$12:T36))</f>
        <v>175000</v>
      </c>
      <c r="W36" s="45" t="str">
        <f t="shared" ca="1" si="2"/>
        <v/>
      </c>
    </row>
    <row r="37" spans="3:23" x14ac:dyDescent="0.35">
      <c r="C37" s="42">
        <f>IF(OR(Overview!$D$33="",Overview!$E$33=""),"",IF(Overview!$D$33+25&gt;Overview!$E$33,"",Overview!$D$33+25))</f>
        <v>46291</v>
      </c>
      <c r="D37" s="43">
        <f t="shared" ca="1" si="4"/>
        <v>0</v>
      </c>
      <c r="E37" s="43">
        <f t="shared" ca="1" si="4"/>
        <v>0</v>
      </c>
      <c r="F37" s="43">
        <f t="shared" ca="1" si="4"/>
        <v>0</v>
      </c>
      <c r="G37" s="43">
        <f t="shared" ca="1" si="4"/>
        <v>0</v>
      </c>
      <c r="H37" s="43">
        <f t="shared" ca="1" si="4"/>
        <v>0</v>
      </c>
      <c r="I37" s="43">
        <f t="shared" ca="1" si="4"/>
        <v>0</v>
      </c>
      <c r="J37" s="43">
        <f t="shared" ca="1" si="4"/>
        <v>0</v>
      </c>
      <c r="K37" s="43">
        <f t="shared" ca="1" si="4"/>
        <v>0</v>
      </c>
      <c r="L37" s="43" t="str">
        <f t="shared" ca="1" si="4"/>
        <v/>
      </c>
      <c r="M37" s="43" t="str">
        <f t="shared" ca="1" si="4"/>
        <v/>
      </c>
      <c r="N37" s="43" t="str">
        <f t="shared" ca="1" si="4"/>
        <v/>
      </c>
      <c r="O37" s="43" t="str">
        <f t="shared" ca="1" si="4"/>
        <v/>
      </c>
      <c r="P37" s="43" t="str">
        <f t="shared" ca="1" si="4"/>
        <v/>
      </c>
      <c r="Q37" s="43" t="str">
        <f t="shared" ca="1" si="4"/>
        <v/>
      </c>
      <c r="R37" s="43" t="str">
        <f t="shared" ca="1" si="4"/>
        <v/>
      </c>
      <c r="S37" s="44">
        <f t="shared" ca="1" si="1"/>
        <v>0</v>
      </c>
      <c r="T37" s="43">
        <f>IF($C37="","",SUMIFS(Overview!$G$18:$G$32,Overview!$D$18:$D$32,"&lt;="&amp;$C37,Overview!$E$18:$E$32,"&gt;="&amp;$C37))</f>
        <v>7000</v>
      </c>
      <c r="U37" s="43" t="str">
        <f ca="1">IF(OR($C37="",Overview!$I$33=""),"",IF($C37&gt;Overview!$I$33,"",SUM($S$12:S37)))</f>
        <v/>
      </c>
      <c r="V37" s="43">
        <f>IF($C37="","",SUM($T$12:T37))</f>
        <v>182000</v>
      </c>
      <c r="W37" s="45" t="str">
        <f t="shared" ca="1" si="2"/>
        <v/>
      </c>
    </row>
    <row r="38" spans="3:23" x14ac:dyDescent="0.35">
      <c r="C38" s="42">
        <f>IF(OR(Overview!$D$33="",Overview!$E$33=""),"",IF(Overview!$D$33+26&gt;Overview!$E$33,"",Overview!$D$33+26))</f>
        <v>46292</v>
      </c>
      <c r="D38" s="43">
        <f t="shared" ca="1" si="4"/>
        <v>0</v>
      </c>
      <c r="E38" s="43">
        <f t="shared" ca="1" si="4"/>
        <v>0</v>
      </c>
      <c r="F38" s="43">
        <f t="shared" ca="1" si="4"/>
        <v>0</v>
      </c>
      <c r="G38" s="43">
        <f t="shared" ca="1" si="4"/>
        <v>0</v>
      </c>
      <c r="H38" s="43">
        <f t="shared" ca="1" si="4"/>
        <v>0</v>
      </c>
      <c r="I38" s="43">
        <f t="shared" ca="1" si="4"/>
        <v>0</v>
      </c>
      <c r="J38" s="43">
        <f t="shared" ca="1" si="4"/>
        <v>0</v>
      </c>
      <c r="K38" s="43">
        <f t="shared" ca="1" si="4"/>
        <v>0</v>
      </c>
      <c r="L38" s="43" t="str">
        <f t="shared" ca="1" si="4"/>
        <v/>
      </c>
      <c r="M38" s="43" t="str">
        <f t="shared" ca="1" si="4"/>
        <v/>
      </c>
      <c r="N38" s="43" t="str">
        <f t="shared" ca="1" si="4"/>
        <v/>
      </c>
      <c r="O38" s="43" t="str">
        <f t="shared" ca="1" si="4"/>
        <v/>
      </c>
      <c r="P38" s="43" t="str">
        <f t="shared" ca="1" si="4"/>
        <v/>
      </c>
      <c r="Q38" s="43" t="str">
        <f t="shared" ca="1" si="4"/>
        <v/>
      </c>
      <c r="R38" s="43" t="str">
        <f t="shared" ca="1" si="4"/>
        <v/>
      </c>
      <c r="S38" s="44">
        <f t="shared" ca="1" si="1"/>
        <v>0</v>
      </c>
      <c r="T38" s="43">
        <f>IF($C38="","",SUMIFS(Overview!$G$18:$G$32,Overview!$D$18:$D$32,"&lt;="&amp;$C38,Overview!$E$18:$E$32,"&gt;="&amp;$C38))</f>
        <v>7000</v>
      </c>
      <c r="U38" s="43" t="str">
        <f ca="1">IF(OR($C38="",Overview!$I$33=""),"",IF($C38&gt;Overview!$I$33,"",SUM($S$12:S38)))</f>
        <v/>
      </c>
      <c r="V38" s="43">
        <f>IF($C38="","",SUM($T$12:T38))</f>
        <v>189000</v>
      </c>
      <c r="W38" s="45" t="str">
        <f t="shared" ca="1" si="2"/>
        <v/>
      </c>
    </row>
    <row r="39" spans="3:23" x14ac:dyDescent="0.35">
      <c r="C39" s="42">
        <f>IF(OR(Overview!$D$33="",Overview!$E$33=""),"",IF(Overview!$D$33+27&gt;Overview!$E$33,"",Overview!$D$33+27))</f>
        <v>46293</v>
      </c>
      <c r="D39" s="43">
        <f t="shared" ca="1" si="4"/>
        <v>0</v>
      </c>
      <c r="E39" s="43">
        <f t="shared" ca="1" si="4"/>
        <v>0</v>
      </c>
      <c r="F39" s="43">
        <f t="shared" ca="1" si="4"/>
        <v>0</v>
      </c>
      <c r="G39" s="43">
        <f t="shared" ca="1" si="4"/>
        <v>0</v>
      </c>
      <c r="H39" s="43">
        <f t="shared" ca="1" si="4"/>
        <v>0</v>
      </c>
      <c r="I39" s="43">
        <f t="shared" ca="1" si="4"/>
        <v>0</v>
      </c>
      <c r="J39" s="43">
        <f t="shared" ca="1" si="4"/>
        <v>0</v>
      </c>
      <c r="K39" s="43">
        <f t="shared" ca="1" si="4"/>
        <v>0</v>
      </c>
      <c r="L39" s="43" t="str">
        <f t="shared" ca="1" si="4"/>
        <v/>
      </c>
      <c r="M39" s="43" t="str">
        <f t="shared" ca="1" si="4"/>
        <v/>
      </c>
      <c r="N39" s="43" t="str">
        <f t="shared" ca="1" si="4"/>
        <v/>
      </c>
      <c r="O39" s="43" t="str">
        <f t="shared" ca="1" si="4"/>
        <v/>
      </c>
      <c r="P39" s="43" t="str">
        <f t="shared" ca="1" si="4"/>
        <v/>
      </c>
      <c r="Q39" s="43" t="str">
        <f t="shared" ca="1" si="4"/>
        <v/>
      </c>
      <c r="R39" s="43" t="str">
        <f t="shared" ca="1" si="4"/>
        <v/>
      </c>
      <c r="S39" s="44">
        <f t="shared" ca="1" si="1"/>
        <v>0</v>
      </c>
      <c r="T39" s="43">
        <f>IF($C39="","",SUMIFS(Overview!$G$18:$G$32,Overview!$D$18:$D$32,"&lt;="&amp;$C39,Overview!$E$18:$E$32,"&gt;="&amp;$C39))</f>
        <v>7000</v>
      </c>
      <c r="U39" s="43" t="str">
        <f ca="1">IF(OR($C39="",Overview!$I$33=""),"",IF($C39&gt;Overview!$I$33,"",SUM($S$12:S39)))</f>
        <v/>
      </c>
      <c r="V39" s="43">
        <f>IF($C39="","",SUM($T$12:T39))</f>
        <v>196000</v>
      </c>
      <c r="W39" s="45" t="str">
        <f t="shared" ca="1" si="2"/>
        <v/>
      </c>
    </row>
    <row r="40" spans="3:23" x14ac:dyDescent="0.35">
      <c r="C40" s="42">
        <f>IF(OR(Overview!$D$33="",Overview!$E$33=""),"",IF(Overview!$D$33+28&gt;Overview!$E$33,"",Overview!$D$33+28))</f>
        <v>46294</v>
      </c>
      <c r="D40" s="43">
        <f t="shared" ca="1" si="4"/>
        <v>0</v>
      </c>
      <c r="E40" s="43">
        <f t="shared" ca="1" si="4"/>
        <v>0</v>
      </c>
      <c r="F40" s="43">
        <f t="shared" ca="1" si="4"/>
        <v>0</v>
      </c>
      <c r="G40" s="43">
        <f t="shared" ca="1" si="4"/>
        <v>0</v>
      </c>
      <c r="H40" s="43">
        <f t="shared" ca="1" si="4"/>
        <v>0</v>
      </c>
      <c r="I40" s="43">
        <f t="shared" ca="1" si="4"/>
        <v>0</v>
      </c>
      <c r="J40" s="43">
        <f t="shared" ca="1" si="4"/>
        <v>0</v>
      </c>
      <c r="K40" s="43">
        <f t="shared" ca="1" si="4"/>
        <v>0</v>
      </c>
      <c r="L40" s="43" t="str">
        <f t="shared" ca="1" si="4"/>
        <v/>
      </c>
      <c r="M40" s="43" t="str">
        <f t="shared" ca="1" si="4"/>
        <v/>
      </c>
      <c r="N40" s="43" t="str">
        <f t="shared" ca="1" si="4"/>
        <v/>
      </c>
      <c r="O40" s="43" t="str">
        <f t="shared" ca="1" si="4"/>
        <v/>
      </c>
      <c r="P40" s="43" t="str">
        <f t="shared" ca="1" si="4"/>
        <v/>
      </c>
      <c r="Q40" s="43" t="str">
        <f t="shared" ca="1" si="4"/>
        <v/>
      </c>
      <c r="R40" s="43" t="str">
        <f t="shared" ca="1" si="4"/>
        <v/>
      </c>
      <c r="S40" s="44">
        <f t="shared" ca="1" si="1"/>
        <v>0</v>
      </c>
      <c r="T40" s="43">
        <f>IF($C40="","",SUMIFS(Overview!$G$18:$G$32,Overview!$D$18:$D$32,"&lt;="&amp;$C40,Overview!$E$18:$E$32,"&gt;="&amp;$C40))</f>
        <v>7000</v>
      </c>
      <c r="U40" s="43" t="str">
        <f ca="1">IF(OR($C40="",Overview!$I$33=""),"",IF($C40&gt;Overview!$I$33,"",SUM($S$12:S40)))</f>
        <v/>
      </c>
      <c r="V40" s="43">
        <f>IF($C40="","",SUM($T$12:T40))</f>
        <v>203000</v>
      </c>
      <c r="W40" s="45" t="str">
        <f t="shared" ca="1" si="2"/>
        <v/>
      </c>
    </row>
    <row r="41" spans="3:23" x14ac:dyDescent="0.35">
      <c r="C41" s="42">
        <f>IF(OR(Overview!$D$33="",Overview!$E$33=""),"",IF(Overview!$D$33+29&gt;Overview!$E$33,"",Overview!$D$33+29))</f>
        <v>46295</v>
      </c>
      <c r="D41" s="43">
        <f t="shared" ca="1" si="4"/>
        <v>0</v>
      </c>
      <c r="E41" s="43">
        <f t="shared" ca="1" si="4"/>
        <v>0</v>
      </c>
      <c r="F41" s="43">
        <f t="shared" ca="1" si="4"/>
        <v>0</v>
      </c>
      <c r="G41" s="43">
        <f t="shared" ca="1" si="4"/>
        <v>0</v>
      </c>
      <c r="H41" s="43">
        <f t="shared" ca="1" si="4"/>
        <v>0</v>
      </c>
      <c r="I41" s="43">
        <f t="shared" ca="1" si="4"/>
        <v>0</v>
      </c>
      <c r="J41" s="43">
        <f t="shared" ca="1" si="4"/>
        <v>0</v>
      </c>
      <c r="K41" s="43">
        <f t="shared" ca="1" si="4"/>
        <v>0</v>
      </c>
      <c r="L41" s="43" t="str">
        <f t="shared" ca="1" si="4"/>
        <v/>
      </c>
      <c r="M41" s="43" t="str">
        <f t="shared" ca="1" si="4"/>
        <v/>
      </c>
      <c r="N41" s="43" t="str">
        <f t="shared" ca="1" si="4"/>
        <v/>
      </c>
      <c r="O41" s="43" t="str">
        <f t="shared" ca="1" si="4"/>
        <v/>
      </c>
      <c r="P41" s="43" t="str">
        <f t="shared" ca="1" si="4"/>
        <v/>
      </c>
      <c r="Q41" s="43" t="str">
        <f t="shared" ca="1" si="4"/>
        <v/>
      </c>
      <c r="R41" s="43" t="str">
        <f t="shared" ca="1" si="4"/>
        <v/>
      </c>
      <c r="S41" s="44">
        <f t="shared" ca="1" si="1"/>
        <v>0</v>
      </c>
      <c r="T41" s="43">
        <f>IF($C41="","",SUMIFS(Overview!$G$18:$G$32,Overview!$D$18:$D$32,"&lt;="&amp;$C41,Overview!$E$18:$E$32,"&gt;="&amp;$C41))</f>
        <v>7000</v>
      </c>
      <c r="U41" s="43" t="str">
        <f ca="1">IF(OR($C41="",Overview!$I$33=""),"",IF($C41&gt;Overview!$I$33,"",SUM($S$12:S41)))</f>
        <v/>
      </c>
      <c r="V41" s="43">
        <f>IF($C41="","",SUM($T$12:T41))</f>
        <v>210000</v>
      </c>
      <c r="W41" s="45" t="str">
        <f t="shared" ca="1" si="2"/>
        <v/>
      </c>
    </row>
    <row r="42" spans="3:23" x14ac:dyDescent="0.35">
      <c r="C42" s="42" t="str">
        <f>IF(OR(Overview!$D$33="",Overview!$E$33=""),"",IF(Overview!$D$33+30&gt;Overview!$E$33,"",Overview!$D$33+30))</f>
        <v/>
      </c>
      <c r="D42" s="43" t="str">
        <f t="shared" ref="D42:R51" ca="1" si="5">IF(OR($C42="",D$11=""),"",IFERROR(SUMIFS(INDIRECT("'"&amp;D$11&amp;"'!$F$14:$F$10013"),INDIRECT("'"&amp;D$11&amp;"'!$C$14:$C$10013"),$C42),""))</f>
        <v/>
      </c>
      <c r="E42" s="43" t="str">
        <f t="shared" ca="1" si="5"/>
        <v/>
      </c>
      <c r="F42" s="43" t="str">
        <f t="shared" ca="1" si="5"/>
        <v/>
      </c>
      <c r="G42" s="43" t="str">
        <f t="shared" ca="1" si="5"/>
        <v/>
      </c>
      <c r="H42" s="43" t="str">
        <f t="shared" ca="1" si="5"/>
        <v/>
      </c>
      <c r="I42" s="43" t="str">
        <f t="shared" ca="1" si="5"/>
        <v/>
      </c>
      <c r="J42" s="43" t="str">
        <f t="shared" ca="1" si="5"/>
        <v/>
      </c>
      <c r="K42" s="43" t="str">
        <f t="shared" ca="1" si="5"/>
        <v/>
      </c>
      <c r="L42" s="43" t="str">
        <f t="shared" ca="1" si="5"/>
        <v/>
      </c>
      <c r="M42" s="43" t="str">
        <f t="shared" ca="1" si="5"/>
        <v/>
      </c>
      <c r="N42" s="43" t="str">
        <f t="shared" ca="1" si="5"/>
        <v/>
      </c>
      <c r="O42" s="43" t="str">
        <f t="shared" ca="1" si="5"/>
        <v/>
      </c>
      <c r="P42" s="43" t="str">
        <f t="shared" ca="1" si="5"/>
        <v/>
      </c>
      <c r="Q42" s="43" t="str">
        <f t="shared" ca="1" si="5"/>
        <v/>
      </c>
      <c r="R42" s="43" t="str">
        <f t="shared" ca="1" si="5"/>
        <v/>
      </c>
      <c r="S42" s="44" t="str">
        <f t="shared" si="1"/>
        <v/>
      </c>
      <c r="T42" s="43" t="str">
        <f>IF($C42="","",SUMIFS(Overview!$G$18:$G$32,Overview!$D$18:$D$32,"&lt;="&amp;$C42,Overview!$E$18:$E$32,"&gt;="&amp;$C42))</f>
        <v/>
      </c>
      <c r="U42" s="43" t="str">
        <f ca="1">IF(OR($C42="",Overview!$I$33=""),"",IF($C42&gt;Overview!$I$33,"",SUM($S$12:S42)))</f>
        <v/>
      </c>
      <c r="V42" s="43" t="str">
        <f>IF($C42="","",SUM($T$12:T42))</f>
        <v/>
      </c>
      <c r="W42" s="45" t="str">
        <f t="shared" ca="1" si="2"/>
        <v/>
      </c>
    </row>
    <row r="43" spans="3:23" x14ac:dyDescent="0.35">
      <c r="C43" s="42" t="str">
        <f>IF(OR(Overview!$D$33="",Overview!$E$33=""),"",IF(Overview!$D$33+31&gt;Overview!$E$33,"",Overview!$D$33+31))</f>
        <v/>
      </c>
      <c r="D43" s="43" t="str">
        <f t="shared" ca="1" si="5"/>
        <v/>
      </c>
      <c r="E43" s="43" t="str">
        <f t="shared" ca="1" si="5"/>
        <v/>
      </c>
      <c r="F43" s="43" t="str">
        <f t="shared" ca="1" si="5"/>
        <v/>
      </c>
      <c r="G43" s="43" t="str">
        <f t="shared" ca="1" si="5"/>
        <v/>
      </c>
      <c r="H43" s="43" t="str">
        <f t="shared" ca="1" si="5"/>
        <v/>
      </c>
      <c r="I43" s="43" t="str">
        <f t="shared" ca="1" si="5"/>
        <v/>
      </c>
      <c r="J43" s="43" t="str">
        <f t="shared" ca="1" si="5"/>
        <v/>
      </c>
      <c r="K43" s="43" t="str">
        <f t="shared" ca="1" si="5"/>
        <v/>
      </c>
      <c r="L43" s="43" t="str">
        <f t="shared" ca="1" si="5"/>
        <v/>
      </c>
      <c r="M43" s="43" t="str">
        <f t="shared" ca="1" si="5"/>
        <v/>
      </c>
      <c r="N43" s="43" t="str">
        <f t="shared" ca="1" si="5"/>
        <v/>
      </c>
      <c r="O43" s="43" t="str">
        <f t="shared" ca="1" si="5"/>
        <v/>
      </c>
      <c r="P43" s="43" t="str">
        <f t="shared" ca="1" si="5"/>
        <v/>
      </c>
      <c r="Q43" s="43" t="str">
        <f t="shared" ca="1" si="5"/>
        <v/>
      </c>
      <c r="R43" s="43" t="str">
        <f t="shared" ca="1" si="5"/>
        <v/>
      </c>
      <c r="S43" s="44" t="str">
        <f t="shared" si="1"/>
        <v/>
      </c>
      <c r="T43" s="43" t="str">
        <f>IF($C43="","",SUMIFS(Overview!$G$18:$G$32,Overview!$D$18:$D$32,"&lt;="&amp;$C43,Overview!$E$18:$E$32,"&gt;="&amp;$C43))</f>
        <v/>
      </c>
      <c r="U43" s="43" t="str">
        <f ca="1">IF(OR($C43="",Overview!$I$33=""),"",IF($C43&gt;Overview!$I$33,"",SUM($S$12:S43)))</f>
        <v/>
      </c>
      <c r="V43" s="43" t="str">
        <f>IF($C43="","",SUM($T$12:T43))</f>
        <v/>
      </c>
      <c r="W43" s="45" t="str">
        <f t="shared" ca="1" si="2"/>
        <v/>
      </c>
    </row>
    <row r="44" spans="3:23" x14ac:dyDescent="0.35">
      <c r="C44" s="42" t="str">
        <f>IF(OR(Overview!$D$33="",Overview!$E$33=""),"",IF(Overview!$D$33+32&gt;Overview!$E$33,"",Overview!$D$33+32))</f>
        <v/>
      </c>
      <c r="D44" s="43" t="str">
        <f t="shared" ca="1" si="5"/>
        <v/>
      </c>
      <c r="E44" s="43" t="str">
        <f t="shared" ca="1" si="5"/>
        <v/>
      </c>
      <c r="F44" s="43" t="str">
        <f t="shared" ca="1" si="5"/>
        <v/>
      </c>
      <c r="G44" s="43" t="str">
        <f t="shared" ca="1" si="5"/>
        <v/>
      </c>
      <c r="H44" s="43" t="str">
        <f t="shared" ca="1" si="5"/>
        <v/>
      </c>
      <c r="I44" s="43" t="str">
        <f t="shared" ca="1" si="5"/>
        <v/>
      </c>
      <c r="J44" s="43" t="str">
        <f t="shared" ca="1" si="5"/>
        <v/>
      </c>
      <c r="K44" s="43" t="str">
        <f t="shared" ca="1" si="5"/>
        <v/>
      </c>
      <c r="L44" s="43" t="str">
        <f t="shared" ca="1" si="5"/>
        <v/>
      </c>
      <c r="M44" s="43" t="str">
        <f t="shared" ca="1" si="5"/>
        <v/>
      </c>
      <c r="N44" s="43" t="str">
        <f t="shared" ca="1" si="5"/>
        <v/>
      </c>
      <c r="O44" s="43" t="str">
        <f t="shared" ca="1" si="5"/>
        <v/>
      </c>
      <c r="P44" s="43" t="str">
        <f t="shared" ca="1" si="5"/>
        <v/>
      </c>
      <c r="Q44" s="43" t="str">
        <f t="shared" ca="1" si="5"/>
        <v/>
      </c>
      <c r="R44" s="43" t="str">
        <f t="shared" ca="1" si="5"/>
        <v/>
      </c>
      <c r="S44" s="44" t="str">
        <f t="shared" si="1"/>
        <v/>
      </c>
      <c r="T44" s="43" t="str">
        <f>IF($C44="","",SUMIFS(Overview!$G$18:$G$32,Overview!$D$18:$D$32,"&lt;="&amp;$C44,Overview!$E$18:$E$32,"&gt;="&amp;$C44))</f>
        <v/>
      </c>
      <c r="U44" s="43" t="str">
        <f ca="1">IF(OR($C44="",Overview!$I$33=""),"",IF($C44&gt;Overview!$I$33,"",SUM($S$12:S44)))</f>
        <v/>
      </c>
      <c r="V44" s="43" t="str">
        <f>IF($C44="","",SUM($T$12:T44))</f>
        <v/>
      </c>
      <c r="W44" s="45" t="str">
        <f t="shared" ca="1" si="2"/>
        <v/>
      </c>
    </row>
    <row r="45" spans="3:23" x14ac:dyDescent="0.35">
      <c r="C45" s="42" t="str">
        <f>IF(OR(Overview!$D$33="",Overview!$E$33=""),"",IF(Overview!$D$33+33&gt;Overview!$E$33,"",Overview!$D$33+33))</f>
        <v/>
      </c>
      <c r="D45" s="43" t="str">
        <f t="shared" ca="1" si="5"/>
        <v/>
      </c>
      <c r="E45" s="43" t="str">
        <f t="shared" ca="1" si="5"/>
        <v/>
      </c>
      <c r="F45" s="43" t="str">
        <f t="shared" ca="1" si="5"/>
        <v/>
      </c>
      <c r="G45" s="43" t="str">
        <f t="shared" ca="1" si="5"/>
        <v/>
      </c>
      <c r="H45" s="43" t="str">
        <f t="shared" ca="1" si="5"/>
        <v/>
      </c>
      <c r="I45" s="43" t="str">
        <f t="shared" ca="1" si="5"/>
        <v/>
      </c>
      <c r="J45" s="43" t="str">
        <f t="shared" ca="1" si="5"/>
        <v/>
      </c>
      <c r="K45" s="43" t="str">
        <f t="shared" ca="1" si="5"/>
        <v/>
      </c>
      <c r="L45" s="43" t="str">
        <f t="shared" ca="1" si="5"/>
        <v/>
      </c>
      <c r="M45" s="43" t="str">
        <f t="shared" ca="1" si="5"/>
        <v/>
      </c>
      <c r="N45" s="43" t="str">
        <f t="shared" ca="1" si="5"/>
        <v/>
      </c>
      <c r="O45" s="43" t="str">
        <f t="shared" ca="1" si="5"/>
        <v/>
      </c>
      <c r="P45" s="43" t="str">
        <f t="shared" ca="1" si="5"/>
        <v/>
      </c>
      <c r="Q45" s="43" t="str">
        <f t="shared" ca="1" si="5"/>
        <v/>
      </c>
      <c r="R45" s="43" t="str">
        <f t="shared" ca="1" si="5"/>
        <v/>
      </c>
      <c r="S45" s="44" t="str">
        <f t="shared" si="1"/>
        <v/>
      </c>
      <c r="T45" s="43" t="str">
        <f>IF($C45="","",SUMIFS(Overview!$G$18:$G$32,Overview!$D$18:$D$32,"&lt;="&amp;$C45,Overview!$E$18:$E$32,"&gt;="&amp;$C45))</f>
        <v/>
      </c>
      <c r="U45" s="43" t="str">
        <f ca="1">IF(OR($C45="",Overview!$I$33=""),"",IF($C45&gt;Overview!$I$33,"",SUM($S$12:S45)))</f>
        <v/>
      </c>
      <c r="V45" s="43" t="str">
        <f>IF($C45="","",SUM($T$12:T45))</f>
        <v/>
      </c>
      <c r="W45" s="45" t="str">
        <f t="shared" ca="1" si="2"/>
        <v/>
      </c>
    </row>
    <row r="46" spans="3:23" x14ac:dyDescent="0.35">
      <c r="C46" s="42" t="str">
        <f>IF(OR(Overview!$D$33="",Overview!$E$33=""),"",IF(Overview!$D$33+34&gt;Overview!$E$33,"",Overview!$D$33+34))</f>
        <v/>
      </c>
      <c r="D46" s="43" t="str">
        <f t="shared" ca="1" si="5"/>
        <v/>
      </c>
      <c r="E46" s="43" t="str">
        <f t="shared" ca="1" si="5"/>
        <v/>
      </c>
      <c r="F46" s="43" t="str">
        <f t="shared" ca="1" si="5"/>
        <v/>
      </c>
      <c r="G46" s="43" t="str">
        <f t="shared" ca="1" si="5"/>
        <v/>
      </c>
      <c r="H46" s="43" t="str">
        <f t="shared" ca="1" si="5"/>
        <v/>
      </c>
      <c r="I46" s="43" t="str">
        <f t="shared" ca="1" si="5"/>
        <v/>
      </c>
      <c r="J46" s="43" t="str">
        <f t="shared" ca="1" si="5"/>
        <v/>
      </c>
      <c r="K46" s="43" t="str">
        <f t="shared" ca="1" si="5"/>
        <v/>
      </c>
      <c r="L46" s="43" t="str">
        <f t="shared" ca="1" si="5"/>
        <v/>
      </c>
      <c r="M46" s="43" t="str">
        <f t="shared" ca="1" si="5"/>
        <v/>
      </c>
      <c r="N46" s="43" t="str">
        <f t="shared" ca="1" si="5"/>
        <v/>
      </c>
      <c r="O46" s="43" t="str">
        <f t="shared" ca="1" si="5"/>
        <v/>
      </c>
      <c r="P46" s="43" t="str">
        <f t="shared" ca="1" si="5"/>
        <v/>
      </c>
      <c r="Q46" s="43" t="str">
        <f t="shared" ca="1" si="5"/>
        <v/>
      </c>
      <c r="R46" s="43" t="str">
        <f t="shared" ca="1" si="5"/>
        <v/>
      </c>
      <c r="S46" s="44" t="str">
        <f t="shared" si="1"/>
        <v/>
      </c>
      <c r="T46" s="43" t="str">
        <f>IF($C46="","",SUMIFS(Overview!$G$18:$G$32,Overview!$D$18:$D$32,"&lt;="&amp;$C46,Overview!$E$18:$E$32,"&gt;="&amp;$C46))</f>
        <v/>
      </c>
      <c r="U46" s="43" t="str">
        <f ca="1">IF(OR($C46="",Overview!$I$33=""),"",IF($C46&gt;Overview!$I$33,"",SUM($S$12:S46)))</f>
        <v/>
      </c>
      <c r="V46" s="43" t="str">
        <f>IF($C46="","",SUM($T$12:T46))</f>
        <v/>
      </c>
      <c r="W46" s="45" t="str">
        <f t="shared" ca="1" si="2"/>
        <v/>
      </c>
    </row>
    <row r="47" spans="3:23" x14ac:dyDescent="0.35">
      <c r="C47" s="42" t="str">
        <f>IF(OR(Overview!$D$33="",Overview!$E$33=""),"",IF(Overview!$D$33+35&gt;Overview!$E$33,"",Overview!$D$33+35))</f>
        <v/>
      </c>
      <c r="D47" s="43" t="str">
        <f t="shared" ca="1" si="5"/>
        <v/>
      </c>
      <c r="E47" s="43" t="str">
        <f t="shared" ca="1" si="5"/>
        <v/>
      </c>
      <c r="F47" s="43" t="str">
        <f t="shared" ca="1" si="5"/>
        <v/>
      </c>
      <c r="G47" s="43" t="str">
        <f t="shared" ca="1" si="5"/>
        <v/>
      </c>
      <c r="H47" s="43" t="str">
        <f t="shared" ca="1" si="5"/>
        <v/>
      </c>
      <c r="I47" s="43" t="str">
        <f t="shared" ca="1" si="5"/>
        <v/>
      </c>
      <c r="J47" s="43" t="str">
        <f t="shared" ca="1" si="5"/>
        <v/>
      </c>
      <c r="K47" s="43" t="str">
        <f t="shared" ca="1" si="5"/>
        <v/>
      </c>
      <c r="L47" s="43" t="str">
        <f t="shared" ca="1" si="5"/>
        <v/>
      </c>
      <c r="M47" s="43" t="str">
        <f t="shared" ca="1" si="5"/>
        <v/>
      </c>
      <c r="N47" s="43" t="str">
        <f t="shared" ca="1" si="5"/>
        <v/>
      </c>
      <c r="O47" s="43" t="str">
        <f t="shared" ca="1" si="5"/>
        <v/>
      </c>
      <c r="P47" s="43" t="str">
        <f t="shared" ca="1" si="5"/>
        <v/>
      </c>
      <c r="Q47" s="43" t="str">
        <f t="shared" ca="1" si="5"/>
        <v/>
      </c>
      <c r="R47" s="43" t="str">
        <f t="shared" ca="1" si="5"/>
        <v/>
      </c>
      <c r="S47" s="44" t="str">
        <f t="shared" si="1"/>
        <v/>
      </c>
      <c r="T47" s="43" t="str">
        <f>IF($C47="","",SUMIFS(Overview!$G$18:$G$32,Overview!$D$18:$D$32,"&lt;="&amp;$C47,Overview!$E$18:$E$32,"&gt;="&amp;$C47))</f>
        <v/>
      </c>
      <c r="U47" s="43" t="str">
        <f ca="1">IF(OR($C47="",Overview!$I$33=""),"",IF($C47&gt;Overview!$I$33,"",SUM($S$12:S47)))</f>
        <v/>
      </c>
      <c r="V47" s="43" t="str">
        <f>IF($C47="","",SUM($T$12:T47))</f>
        <v/>
      </c>
      <c r="W47" s="45" t="str">
        <f t="shared" ca="1" si="2"/>
        <v/>
      </c>
    </row>
    <row r="48" spans="3:23" x14ac:dyDescent="0.35">
      <c r="C48" s="42" t="str">
        <f>IF(OR(Overview!$D$33="",Overview!$E$33=""),"",IF(Overview!$D$33+36&gt;Overview!$E$33,"",Overview!$D$33+36))</f>
        <v/>
      </c>
      <c r="D48" s="43" t="str">
        <f t="shared" ca="1" si="5"/>
        <v/>
      </c>
      <c r="E48" s="43" t="str">
        <f t="shared" ca="1" si="5"/>
        <v/>
      </c>
      <c r="F48" s="43" t="str">
        <f t="shared" ca="1" si="5"/>
        <v/>
      </c>
      <c r="G48" s="43" t="str">
        <f t="shared" ca="1" si="5"/>
        <v/>
      </c>
      <c r="H48" s="43" t="str">
        <f t="shared" ca="1" si="5"/>
        <v/>
      </c>
      <c r="I48" s="43" t="str">
        <f t="shared" ca="1" si="5"/>
        <v/>
      </c>
      <c r="J48" s="43" t="str">
        <f t="shared" ca="1" si="5"/>
        <v/>
      </c>
      <c r="K48" s="43" t="str">
        <f t="shared" ca="1" si="5"/>
        <v/>
      </c>
      <c r="L48" s="43" t="str">
        <f t="shared" ca="1" si="5"/>
        <v/>
      </c>
      <c r="M48" s="43" t="str">
        <f t="shared" ca="1" si="5"/>
        <v/>
      </c>
      <c r="N48" s="43" t="str">
        <f t="shared" ca="1" si="5"/>
        <v/>
      </c>
      <c r="O48" s="43" t="str">
        <f t="shared" ca="1" si="5"/>
        <v/>
      </c>
      <c r="P48" s="43" t="str">
        <f t="shared" ca="1" si="5"/>
        <v/>
      </c>
      <c r="Q48" s="43" t="str">
        <f t="shared" ca="1" si="5"/>
        <v/>
      </c>
      <c r="R48" s="43" t="str">
        <f t="shared" ca="1" si="5"/>
        <v/>
      </c>
      <c r="S48" s="44" t="str">
        <f t="shared" si="1"/>
        <v/>
      </c>
      <c r="T48" s="43" t="str">
        <f>IF($C48="","",SUMIFS(Overview!$G$18:$G$32,Overview!$D$18:$D$32,"&lt;="&amp;$C48,Overview!$E$18:$E$32,"&gt;="&amp;$C48))</f>
        <v/>
      </c>
      <c r="U48" s="43" t="str">
        <f ca="1">IF(OR($C48="",Overview!$I$33=""),"",IF($C48&gt;Overview!$I$33,"",SUM($S$12:S48)))</f>
        <v/>
      </c>
      <c r="V48" s="43" t="str">
        <f>IF($C48="","",SUM($T$12:T48))</f>
        <v/>
      </c>
      <c r="W48" s="45" t="str">
        <f t="shared" ca="1" si="2"/>
        <v/>
      </c>
    </row>
    <row r="49" spans="3:23" x14ac:dyDescent="0.35">
      <c r="C49" s="42" t="str">
        <f>IF(OR(Overview!$D$33="",Overview!$E$33=""),"",IF(Overview!$D$33+37&gt;Overview!$E$33,"",Overview!$D$33+37))</f>
        <v/>
      </c>
      <c r="D49" s="43" t="str">
        <f t="shared" ca="1" si="5"/>
        <v/>
      </c>
      <c r="E49" s="43" t="str">
        <f t="shared" ca="1" si="5"/>
        <v/>
      </c>
      <c r="F49" s="43" t="str">
        <f t="shared" ca="1" si="5"/>
        <v/>
      </c>
      <c r="G49" s="43" t="str">
        <f t="shared" ca="1" si="5"/>
        <v/>
      </c>
      <c r="H49" s="43" t="str">
        <f t="shared" ca="1" si="5"/>
        <v/>
      </c>
      <c r="I49" s="43" t="str">
        <f t="shared" ca="1" si="5"/>
        <v/>
      </c>
      <c r="J49" s="43" t="str">
        <f t="shared" ca="1" si="5"/>
        <v/>
      </c>
      <c r="K49" s="43" t="str">
        <f t="shared" ca="1" si="5"/>
        <v/>
      </c>
      <c r="L49" s="43" t="str">
        <f t="shared" ca="1" si="5"/>
        <v/>
      </c>
      <c r="M49" s="43" t="str">
        <f t="shared" ca="1" si="5"/>
        <v/>
      </c>
      <c r="N49" s="43" t="str">
        <f t="shared" ca="1" si="5"/>
        <v/>
      </c>
      <c r="O49" s="43" t="str">
        <f t="shared" ca="1" si="5"/>
        <v/>
      </c>
      <c r="P49" s="43" t="str">
        <f t="shared" ca="1" si="5"/>
        <v/>
      </c>
      <c r="Q49" s="43" t="str">
        <f t="shared" ca="1" si="5"/>
        <v/>
      </c>
      <c r="R49" s="43" t="str">
        <f t="shared" ca="1" si="5"/>
        <v/>
      </c>
      <c r="S49" s="44" t="str">
        <f t="shared" si="1"/>
        <v/>
      </c>
      <c r="T49" s="43" t="str">
        <f>IF($C49="","",SUMIFS(Overview!$G$18:$G$32,Overview!$D$18:$D$32,"&lt;="&amp;$C49,Overview!$E$18:$E$32,"&gt;="&amp;$C49))</f>
        <v/>
      </c>
      <c r="U49" s="43" t="str">
        <f ca="1">IF(OR($C49="",Overview!$I$33=""),"",IF($C49&gt;Overview!$I$33,"",SUM($S$12:S49)))</f>
        <v/>
      </c>
      <c r="V49" s="43" t="str">
        <f>IF($C49="","",SUM($T$12:T49))</f>
        <v/>
      </c>
      <c r="W49" s="45" t="str">
        <f t="shared" ca="1" si="2"/>
        <v/>
      </c>
    </row>
    <row r="50" spans="3:23" x14ac:dyDescent="0.35">
      <c r="C50" s="42" t="str">
        <f>IF(OR(Overview!$D$33="",Overview!$E$33=""),"",IF(Overview!$D$33+38&gt;Overview!$E$33,"",Overview!$D$33+38))</f>
        <v/>
      </c>
      <c r="D50" s="43" t="str">
        <f t="shared" ca="1" si="5"/>
        <v/>
      </c>
      <c r="E50" s="43" t="str">
        <f t="shared" ca="1" si="5"/>
        <v/>
      </c>
      <c r="F50" s="43" t="str">
        <f t="shared" ca="1" si="5"/>
        <v/>
      </c>
      <c r="G50" s="43" t="str">
        <f t="shared" ca="1" si="5"/>
        <v/>
      </c>
      <c r="H50" s="43" t="str">
        <f t="shared" ca="1" si="5"/>
        <v/>
      </c>
      <c r="I50" s="43" t="str">
        <f t="shared" ca="1" si="5"/>
        <v/>
      </c>
      <c r="J50" s="43" t="str">
        <f t="shared" ca="1" si="5"/>
        <v/>
      </c>
      <c r="K50" s="43" t="str">
        <f t="shared" ca="1" si="5"/>
        <v/>
      </c>
      <c r="L50" s="43" t="str">
        <f t="shared" ca="1" si="5"/>
        <v/>
      </c>
      <c r="M50" s="43" t="str">
        <f t="shared" ca="1" si="5"/>
        <v/>
      </c>
      <c r="N50" s="43" t="str">
        <f t="shared" ca="1" si="5"/>
        <v/>
      </c>
      <c r="O50" s="43" t="str">
        <f t="shared" ca="1" si="5"/>
        <v/>
      </c>
      <c r="P50" s="43" t="str">
        <f t="shared" ca="1" si="5"/>
        <v/>
      </c>
      <c r="Q50" s="43" t="str">
        <f t="shared" ca="1" si="5"/>
        <v/>
      </c>
      <c r="R50" s="43" t="str">
        <f t="shared" ca="1" si="5"/>
        <v/>
      </c>
      <c r="S50" s="44" t="str">
        <f t="shared" si="1"/>
        <v/>
      </c>
      <c r="T50" s="43" t="str">
        <f>IF($C50="","",SUMIFS(Overview!$G$18:$G$32,Overview!$D$18:$D$32,"&lt;="&amp;$C50,Overview!$E$18:$E$32,"&gt;="&amp;$C50))</f>
        <v/>
      </c>
      <c r="U50" s="43" t="str">
        <f ca="1">IF(OR($C50="",Overview!$I$33=""),"",IF($C50&gt;Overview!$I$33,"",SUM($S$12:S50)))</f>
        <v/>
      </c>
      <c r="V50" s="43" t="str">
        <f>IF($C50="","",SUM($T$12:T50))</f>
        <v/>
      </c>
      <c r="W50" s="45" t="str">
        <f t="shared" ca="1" si="2"/>
        <v/>
      </c>
    </row>
    <row r="51" spans="3:23" x14ac:dyDescent="0.35">
      <c r="C51" s="42" t="str">
        <f>IF(OR(Overview!$D$33="",Overview!$E$33=""),"",IF(Overview!$D$33+39&gt;Overview!$E$33,"",Overview!$D$33+39))</f>
        <v/>
      </c>
      <c r="D51" s="43" t="str">
        <f t="shared" ca="1" si="5"/>
        <v/>
      </c>
      <c r="E51" s="43" t="str">
        <f t="shared" ca="1" si="5"/>
        <v/>
      </c>
      <c r="F51" s="43" t="str">
        <f t="shared" ca="1" si="5"/>
        <v/>
      </c>
      <c r="G51" s="43" t="str">
        <f t="shared" ca="1" si="5"/>
        <v/>
      </c>
      <c r="H51" s="43" t="str">
        <f t="shared" ca="1" si="5"/>
        <v/>
      </c>
      <c r="I51" s="43" t="str">
        <f t="shared" ca="1" si="5"/>
        <v/>
      </c>
      <c r="J51" s="43" t="str">
        <f t="shared" ca="1" si="5"/>
        <v/>
      </c>
      <c r="K51" s="43" t="str">
        <f t="shared" ca="1" si="5"/>
        <v/>
      </c>
      <c r="L51" s="43" t="str">
        <f t="shared" ca="1" si="5"/>
        <v/>
      </c>
      <c r="M51" s="43" t="str">
        <f t="shared" ca="1" si="5"/>
        <v/>
      </c>
      <c r="N51" s="43" t="str">
        <f t="shared" ca="1" si="5"/>
        <v/>
      </c>
      <c r="O51" s="43" t="str">
        <f t="shared" ca="1" si="5"/>
        <v/>
      </c>
      <c r="P51" s="43" t="str">
        <f t="shared" ca="1" si="5"/>
        <v/>
      </c>
      <c r="Q51" s="43" t="str">
        <f t="shared" ca="1" si="5"/>
        <v/>
      </c>
      <c r="R51" s="43" t="str">
        <f t="shared" ca="1" si="5"/>
        <v/>
      </c>
      <c r="S51" s="44" t="str">
        <f t="shared" si="1"/>
        <v/>
      </c>
      <c r="T51" s="43" t="str">
        <f>IF($C51="","",SUMIFS(Overview!$G$18:$G$32,Overview!$D$18:$D$32,"&lt;="&amp;$C51,Overview!$E$18:$E$32,"&gt;="&amp;$C51))</f>
        <v/>
      </c>
      <c r="U51" s="43" t="str">
        <f ca="1">IF(OR($C51="",Overview!$I$33=""),"",IF($C51&gt;Overview!$I$33,"",SUM($S$12:S51)))</f>
        <v/>
      </c>
      <c r="V51" s="43" t="str">
        <f>IF($C51="","",SUM($T$12:T51))</f>
        <v/>
      </c>
      <c r="W51" s="45" t="str">
        <f t="shared" ca="1" si="2"/>
        <v/>
      </c>
    </row>
    <row r="52" spans="3:23" x14ac:dyDescent="0.35">
      <c r="C52" s="42" t="str">
        <f>IF(OR(Overview!$D$33="",Overview!$E$33=""),"",IF(Overview!$D$33+40&gt;Overview!$E$33,"",Overview!$D$33+40))</f>
        <v/>
      </c>
      <c r="D52" s="43" t="str">
        <f t="shared" ref="D52:R61" ca="1" si="6">IF(OR($C52="",D$11=""),"",IFERROR(SUMIFS(INDIRECT("'"&amp;D$11&amp;"'!$F$14:$F$10013"),INDIRECT("'"&amp;D$11&amp;"'!$C$14:$C$10013"),$C52),""))</f>
        <v/>
      </c>
      <c r="E52" s="43" t="str">
        <f t="shared" ca="1" si="6"/>
        <v/>
      </c>
      <c r="F52" s="43" t="str">
        <f t="shared" ca="1" si="6"/>
        <v/>
      </c>
      <c r="G52" s="43" t="str">
        <f t="shared" ca="1" si="6"/>
        <v/>
      </c>
      <c r="H52" s="43" t="str">
        <f t="shared" ca="1" si="6"/>
        <v/>
      </c>
      <c r="I52" s="43" t="str">
        <f t="shared" ca="1" si="6"/>
        <v/>
      </c>
      <c r="J52" s="43" t="str">
        <f t="shared" ca="1" si="6"/>
        <v/>
      </c>
      <c r="K52" s="43" t="str">
        <f t="shared" ca="1" si="6"/>
        <v/>
      </c>
      <c r="L52" s="43" t="str">
        <f t="shared" ca="1" si="6"/>
        <v/>
      </c>
      <c r="M52" s="43" t="str">
        <f t="shared" ca="1" si="6"/>
        <v/>
      </c>
      <c r="N52" s="43" t="str">
        <f t="shared" ca="1" si="6"/>
        <v/>
      </c>
      <c r="O52" s="43" t="str">
        <f t="shared" ca="1" si="6"/>
        <v/>
      </c>
      <c r="P52" s="43" t="str">
        <f t="shared" ca="1" si="6"/>
        <v/>
      </c>
      <c r="Q52" s="43" t="str">
        <f t="shared" ca="1" si="6"/>
        <v/>
      </c>
      <c r="R52" s="43" t="str">
        <f t="shared" ca="1" si="6"/>
        <v/>
      </c>
      <c r="S52" s="44" t="str">
        <f t="shared" si="1"/>
        <v/>
      </c>
      <c r="T52" s="43" t="str">
        <f>IF($C52="","",SUMIFS(Overview!$G$18:$G$32,Overview!$D$18:$D$32,"&lt;="&amp;$C52,Overview!$E$18:$E$32,"&gt;="&amp;$C52))</f>
        <v/>
      </c>
      <c r="U52" s="43" t="str">
        <f ca="1">IF(OR($C52="",Overview!$I$33=""),"",IF($C52&gt;Overview!$I$33,"",SUM($S$12:S52)))</f>
        <v/>
      </c>
      <c r="V52" s="43" t="str">
        <f>IF($C52="","",SUM($T$12:T52))</f>
        <v/>
      </c>
      <c r="W52" s="45" t="str">
        <f t="shared" ca="1" si="2"/>
        <v/>
      </c>
    </row>
    <row r="53" spans="3:23" x14ac:dyDescent="0.35">
      <c r="C53" s="42" t="str">
        <f>IF(OR(Overview!$D$33="",Overview!$E$33=""),"",IF(Overview!$D$33+41&gt;Overview!$E$33,"",Overview!$D$33+41))</f>
        <v/>
      </c>
      <c r="D53" s="43" t="str">
        <f t="shared" ca="1" si="6"/>
        <v/>
      </c>
      <c r="E53" s="43" t="str">
        <f t="shared" ca="1" si="6"/>
        <v/>
      </c>
      <c r="F53" s="43" t="str">
        <f t="shared" ca="1" si="6"/>
        <v/>
      </c>
      <c r="G53" s="43" t="str">
        <f t="shared" ca="1" si="6"/>
        <v/>
      </c>
      <c r="H53" s="43" t="str">
        <f t="shared" ca="1" si="6"/>
        <v/>
      </c>
      <c r="I53" s="43" t="str">
        <f t="shared" ca="1" si="6"/>
        <v/>
      </c>
      <c r="J53" s="43" t="str">
        <f t="shared" ca="1" si="6"/>
        <v/>
      </c>
      <c r="K53" s="43" t="str">
        <f t="shared" ca="1" si="6"/>
        <v/>
      </c>
      <c r="L53" s="43" t="str">
        <f t="shared" ca="1" si="6"/>
        <v/>
      </c>
      <c r="M53" s="43" t="str">
        <f t="shared" ca="1" si="6"/>
        <v/>
      </c>
      <c r="N53" s="43" t="str">
        <f t="shared" ca="1" si="6"/>
        <v/>
      </c>
      <c r="O53" s="43" t="str">
        <f t="shared" ca="1" si="6"/>
        <v/>
      </c>
      <c r="P53" s="43" t="str">
        <f t="shared" ca="1" si="6"/>
        <v/>
      </c>
      <c r="Q53" s="43" t="str">
        <f t="shared" ca="1" si="6"/>
        <v/>
      </c>
      <c r="R53" s="43" t="str">
        <f t="shared" ca="1" si="6"/>
        <v/>
      </c>
      <c r="S53" s="44" t="str">
        <f t="shared" si="1"/>
        <v/>
      </c>
      <c r="T53" s="43" t="str">
        <f>IF($C53="","",SUMIFS(Overview!$G$18:$G$32,Overview!$D$18:$D$32,"&lt;="&amp;$C53,Overview!$E$18:$E$32,"&gt;="&amp;$C53))</f>
        <v/>
      </c>
      <c r="U53" s="43" t="str">
        <f ca="1">IF(OR($C53="",Overview!$I$33=""),"",IF($C53&gt;Overview!$I$33,"",SUM($S$12:S53)))</f>
        <v/>
      </c>
      <c r="V53" s="43" t="str">
        <f>IF($C53="","",SUM($T$12:T53))</f>
        <v/>
      </c>
      <c r="W53" s="45" t="str">
        <f t="shared" ca="1" si="2"/>
        <v/>
      </c>
    </row>
    <row r="54" spans="3:23" x14ac:dyDescent="0.35">
      <c r="C54" s="42" t="str">
        <f>IF(OR(Overview!$D$33="",Overview!$E$33=""),"",IF(Overview!$D$33+42&gt;Overview!$E$33,"",Overview!$D$33+42))</f>
        <v/>
      </c>
      <c r="D54" s="43" t="str">
        <f t="shared" ca="1" si="6"/>
        <v/>
      </c>
      <c r="E54" s="43" t="str">
        <f t="shared" ca="1" si="6"/>
        <v/>
      </c>
      <c r="F54" s="43" t="str">
        <f t="shared" ca="1" si="6"/>
        <v/>
      </c>
      <c r="G54" s="43" t="str">
        <f t="shared" ca="1" si="6"/>
        <v/>
      </c>
      <c r="H54" s="43" t="str">
        <f t="shared" ca="1" si="6"/>
        <v/>
      </c>
      <c r="I54" s="43" t="str">
        <f t="shared" ca="1" si="6"/>
        <v/>
      </c>
      <c r="J54" s="43" t="str">
        <f t="shared" ca="1" si="6"/>
        <v/>
      </c>
      <c r="K54" s="43" t="str">
        <f t="shared" ca="1" si="6"/>
        <v/>
      </c>
      <c r="L54" s="43" t="str">
        <f t="shared" ca="1" si="6"/>
        <v/>
      </c>
      <c r="M54" s="43" t="str">
        <f t="shared" ca="1" si="6"/>
        <v/>
      </c>
      <c r="N54" s="43" t="str">
        <f t="shared" ca="1" si="6"/>
        <v/>
      </c>
      <c r="O54" s="43" t="str">
        <f t="shared" ca="1" si="6"/>
        <v/>
      </c>
      <c r="P54" s="43" t="str">
        <f t="shared" ca="1" si="6"/>
        <v/>
      </c>
      <c r="Q54" s="43" t="str">
        <f t="shared" ca="1" si="6"/>
        <v/>
      </c>
      <c r="R54" s="43" t="str">
        <f t="shared" ca="1" si="6"/>
        <v/>
      </c>
      <c r="S54" s="44" t="str">
        <f t="shared" si="1"/>
        <v/>
      </c>
      <c r="T54" s="43" t="str">
        <f>IF($C54="","",SUMIFS(Overview!$G$18:$G$32,Overview!$D$18:$D$32,"&lt;="&amp;$C54,Overview!$E$18:$E$32,"&gt;="&amp;$C54))</f>
        <v/>
      </c>
      <c r="U54" s="43" t="str">
        <f ca="1">IF(OR($C54="",Overview!$I$33=""),"",IF($C54&gt;Overview!$I$33,"",SUM($S$12:S54)))</f>
        <v/>
      </c>
      <c r="V54" s="43" t="str">
        <f>IF($C54="","",SUM($T$12:T54))</f>
        <v/>
      </c>
      <c r="W54" s="45" t="str">
        <f t="shared" ca="1" si="2"/>
        <v/>
      </c>
    </row>
    <row r="55" spans="3:23" x14ac:dyDescent="0.35">
      <c r="C55" s="42" t="str">
        <f>IF(OR(Overview!$D$33="",Overview!$E$33=""),"",IF(Overview!$D$33+43&gt;Overview!$E$33,"",Overview!$D$33+43))</f>
        <v/>
      </c>
      <c r="D55" s="43" t="str">
        <f t="shared" ca="1" si="6"/>
        <v/>
      </c>
      <c r="E55" s="43" t="str">
        <f t="shared" ca="1" si="6"/>
        <v/>
      </c>
      <c r="F55" s="43" t="str">
        <f t="shared" ca="1" si="6"/>
        <v/>
      </c>
      <c r="G55" s="43" t="str">
        <f t="shared" ca="1" si="6"/>
        <v/>
      </c>
      <c r="H55" s="43" t="str">
        <f t="shared" ca="1" si="6"/>
        <v/>
      </c>
      <c r="I55" s="43" t="str">
        <f t="shared" ca="1" si="6"/>
        <v/>
      </c>
      <c r="J55" s="43" t="str">
        <f t="shared" ca="1" si="6"/>
        <v/>
      </c>
      <c r="K55" s="43" t="str">
        <f t="shared" ca="1" si="6"/>
        <v/>
      </c>
      <c r="L55" s="43" t="str">
        <f t="shared" ca="1" si="6"/>
        <v/>
      </c>
      <c r="M55" s="43" t="str">
        <f t="shared" ca="1" si="6"/>
        <v/>
      </c>
      <c r="N55" s="43" t="str">
        <f t="shared" ca="1" si="6"/>
        <v/>
      </c>
      <c r="O55" s="43" t="str">
        <f t="shared" ca="1" si="6"/>
        <v/>
      </c>
      <c r="P55" s="43" t="str">
        <f t="shared" ca="1" si="6"/>
        <v/>
      </c>
      <c r="Q55" s="43" t="str">
        <f t="shared" ca="1" si="6"/>
        <v/>
      </c>
      <c r="R55" s="43" t="str">
        <f t="shared" ca="1" si="6"/>
        <v/>
      </c>
      <c r="S55" s="44" t="str">
        <f t="shared" si="1"/>
        <v/>
      </c>
      <c r="T55" s="43" t="str">
        <f>IF($C55="","",SUMIFS(Overview!$G$18:$G$32,Overview!$D$18:$D$32,"&lt;="&amp;$C55,Overview!$E$18:$E$32,"&gt;="&amp;$C55))</f>
        <v/>
      </c>
      <c r="U55" s="43" t="str">
        <f ca="1">IF(OR($C55="",Overview!$I$33=""),"",IF($C55&gt;Overview!$I$33,"",SUM($S$12:S55)))</f>
        <v/>
      </c>
      <c r="V55" s="43" t="str">
        <f>IF($C55="","",SUM($T$12:T55))</f>
        <v/>
      </c>
      <c r="W55" s="45" t="str">
        <f t="shared" ca="1" si="2"/>
        <v/>
      </c>
    </row>
    <row r="56" spans="3:23" x14ac:dyDescent="0.35">
      <c r="C56" s="42" t="str">
        <f>IF(OR(Overview!$D$33="",Overview!$E$33=""),"",IF(Overview!$D$33+44&gt;Overview!$E$33,"",Overview!$D$33+44))</f>
        <v/>
      </c>
      <c r="D56" s="43" t="str">
        <f t="shared" ca="1" si="6"/>
        <v/>
      </c>
      <c r="E56" s="43" t="str">
        <f t="shared" ca="1" si="6"/>
        <v/>
      </c>
      <c r="F56" s="43" t="str">
        <f t="shared" ca="1" si="6"/>
        <v/>
      </c>
      <c r="G56" s="43" t="str">
        <f t="shared" ca="1" si="6"/>
        <v/>
      </c>
      <c r="H56" s="43" t="str">
        <f t="shared" ca="1" si="6"/>
        <v/>
      </c>
      <c r="I56" s="43" t="str">
        <f t="shared" ca="1" si="6"/>
        <v/>
      </c>
      <c r="J56" s="43" t="str">
        <f t="shared" ca="1" si="6"/>
        <v/>
      </c>
      <c r="K56" s="43" t="str">
        <f t="shared" ca="1" si="6"/>
        <v/>
      </c>
      <c r="L56" s="43" t="str">
        <f t="shared" ca="1" si="6"/>
        <v/>
      </c>
      <c r="M56" s="43" t="str">
        <f t="shared" ca="1" si="6"/>
        <v/>
      </c>
      <c r="N56" s="43" t="str">
        <f t="shared" ca="1" si="6"/>
        <v/>
      </c>
      <c r="O56" s="43" t="str">
        <f t="shared" ca="1" si="6"/>
        <v/>
      </c>
      <c r="P56" s="43" t="str">
        <f t="shared" ca="1" si="6"/>
        <v/>
      </c>
      <c r="Q56" s="43" t="str">
        <f t="shared" ca="1" si="6"/>
        <v/>
      </c>
      <c r="R56" s="43" t="str">
        <f t="shared" ca="1" si="6"/>
        <v/>
      </c>
      <c r="S56" s="44" t="str">
        <f t="shared" si="1"/>
        <v/>
      </c>
      <c r="T56" s="43" t="str">
        <f>IF($C56="","",SUMIFS(Overview!$G$18:$G$32,Overview!$D$18:$D$32,"&lt;="&amp;$C56,Overview!$E$18:$E$32,"&gt;="&amp;$C56))</f>
        <v/>
      </c>
      <c r="U56" s="43" t="str">
        <f ca="1">IF(OR($C56="",Overview!$I$33=""),"",IF($C56&gt;Overview!$I$33,"",SUM($S$12:S56)))</f>
        <v/>
      </c>
      <c r="V56" s="43" t="str">
        <f>IF($C56="","",SUM($T$12:T56))</f>
        <v/>
      </c>
      <c r="W56" s="45" t="str">
        <f t="shared" ca="1" si="2"/>
        <v/>
      </c>
    </row>
    <row r="57" spans="3:23" x14ac:dyDescent="0.35">
      <c r="C57" s="42" t="str">
        <f>IF(OR(Overview!$D$33="",Overview!$E$33=""),"",IF(Overview!$D$33+45&gt;Overview!$E$33,"",Overview!$D$33+45))</f>
        <v/>
      </c>
      <c r="D57" s="43" t="str">
        <f t="shared" ca="1" si="6"/>
        <v/>
      </c>
      <c r="E57" s="43" t="str">
        <f t="shared" ca="1" si="6"/>
        <v/>
      </c>
      <c r="F57" s="43" t="str">
        <f t="shared" ca="1" si="6"/>
        <v/>
      </c>
      <c r="G57" s="43" t="str">
        <f t="shared" ca="1" si="6"/>
        <v/>
      </c>
      <c r="H57" s="43" t="str">
        <f t="shared" ca="1" si="6"/>
        <v/>
      </c>
      <c r="I57" s="43" t="str">
        <f t="shared" ca="1" si="6"/>
        <v/>
      </c>
      <c r="J57" s="43" t="str">
        <f t="shared" ca="1" si="6"/>
        <v/>
      </c>
      <c r="K57" s="43" t="str">
        <f t="shared" ca="1" si="6"/>
        <v/>
      </c>
      <c r="L57" s="43" t="str">
        <f t="shared" ca="1" si="6"/>
        <v/>
      </c>
      <c r="M57" s="43" t="str">
        <f t="shared" ca="1" si="6"/>
        <v/>
      </c>
      <c r="N57" s="43" t="str">
        <f t="shared" ca="1" si="6"/>
        <v/>
      </c>
      <c r="O57" s="43" t="str">
        <f t="shared" ca="1" si="6"/>
        <v/>
      </c>
      <c r="P57" s="43" t="str">
        <f t="shared" ca="1" si="6"/>
        <v/>
      </c>
      <c r="Q57" s="43" t="str">
        <f t="shared" ca="1" si="6"/>
        <v/>
      </c>
      <c r="R57" s="43" t="str">
        <f t="shared" ca="1" si="6"/>
        <v/>
      </c>
      <c r="S57" s="44" t="str">
        <f t="shared" si="1"/>
        <v/>
      </c>
      <c r="T57" s="43" t="str">
        <f>IF($C57="","",SUMIFS(Overview!$G$18:$G$32,Overview!$D$18:$D$32,"&lt;="&amp;$C57,Overview!$E$18:$E$32,"&gt;="&amp;$C57))</f>
        <v/>
      </c>
      <c r="U57" s="43" t="str">
        <f ca="1">IF(OR($C57="",Overview!$I$33=""),"",IF($C57&gt;Overview!$I$33,"",SUM($S$12:S57)))</f>
        <v/>
      </c>
      <c r="V57" s="43" t="str">
        <f>IF($C57="","",SUM($T$12:T57))</f>
        <v/>
      </c>
      <c r="W57" s="45" t="str">
        <f t="shared" ca="1" si="2"/>
        <v/>
      </c>
    </row>
    <row r="58" spans="3:23" x14ac:dyDescent="0.35">
      <c r="C58" s="42" t="str">
        <f>IF(OR(Overview!$D$33="",Overview!$E$33=""),"",IF(Overview!$D$33+46&gt;Overview!$E$33,"",Overview!$D$33+46))</f>
        <v/>
      </c>
      <c r="D58" s="43" t="str">
        <f t="shared" ca="1" si="6"/>
        <v/>
      </c>
      <c r="E58" s="43" t="str">
        <f t="shared" ca="1" si="6"/>
        <v/>
      </c>
      <c r="F58" s="43" t="str">
        <f t="shared" ca="1" si="6"/>
        <v/>
      </c>
      <c r="G58" s="43" t="str">
        <f t="shared" ca="1" si="6"/>
        <v/>
      </c>
      <c r="H58" s="43" t="str">
        <f t="shared" ca="1" si="6"/>
        <v/>
      </c>
      <c r="I58" s="43" t="str">
        <f t="shared" ca="1" si="6"/>
        <v/>
      </c>
      <c r="J58" s="43" t="str">
        <f t="shared" ca="1" si="6"/>
        <v/>
      </c>
      <c r="K58" s="43" t="str">
        <f t="shared" ca="1" si="6"/>
        <v/>
      </c>
      <c r="L58" s="43" t="str">
        <f t="shared" ca="1" si="6"/>
        <v/>
      </c>
      <c r="M58" s="43" t="str">
        <f t="shared" ca="1" si="6"/>
        <v/>
      </c>
      <c r="N58" s="43" t="str">
        <f t="shared" ca="1" si="6"/>
        <v/>
      </c>
      <c r="O58" s="43" t="str">
        <f t="shared" ca="1" si="6"/>
        <v/>
      </c>
      <c r="P58" s="43" t="str">
        <f t="shared" ca="1" si="6"/>
        <v/>
      </c>
      <c r="Q58" s="43" t="str">
        <f t="shared" ca="1" si="6"/>
        <v/>
      </c>
      <c r="R58" s="43" t="str">
        <f t="shared" ca="1" si="6"/>
        <v/>
      </c>
      <c r="S58" s="44" t="str">
        <f t="shared" si="1"/>
        <v/>
      </c>
      <c r="T58" s="43" t="str">
        <f>IF($C58="","",SUMIFS(Overview!$G$18:$G$32,Overview!$D$18:$D$32,"&lt;="&amp;$C58,Overview!$E$18:$E$32,"&gt;="&amp;$C58))</f>
        <v/>
      </c>
      <c r="U58" s="43" t="str">
        <f ca="1">IF(OR($C58="",Overview!$I$33=""),"",IF($C58&gt;Overview!$I$33,"",SUM($S$12:S58)))</f>
        <v/>
      </c>
      <c r="V58" s="43" t="str">
        <f>IF($C58="","",SUM($T$12:T58))</f>
        <v/>
      </c>
      <c r="W58" s="45" t="str">
        <f t="shared" ca="1" si="2"/>
        <v/>
      </c>
    </row>
    <row r="59" spans="3:23" x14ac:dyDescent="0.35">
      <c r="C59" s="42" t="str">
        <f>IF(OR(Overview!$D$33="",Overview!$E$33=""),"",IF(Overview!$D$33+47&gt;Overview!$E$33,"",Overview!$D$33+47))</f>
        <v/>
      </c>
      <c r="D59" s="43" t="str">
        <f t="shared" ca="1" si="6"/>
        <v/>
      </c>
      <c r="E59" s="43" t="str">
        <f t="shared" ca="1" si="6"/>
        <v/>
      </c>
      <c r="F59" s="43" t="str">
        <f t="shared" ca="1" si="6"/>
        <v/>
      </c>
      <c r="G59" s="43" t="str">
        <f t="shared" ca="1" si="6"/>
        <v/>
      </c>
      <c r="H59" s="43" t="str">
        <f t="shared" ca="1" si="6"/>
        <v/>
      </c>
      <c r="I59" s="43" t="str">
        <f t="shared" ca="1" si="6"/>
        <v/>
      </c>
      <c r="J59" s="43" t="str">
        <f t="shared" ca="1" si="6"/>
        <v/>
      </c>
      <c r="K59" s="43" t="str">
        <f t="shared" ca="1" si="6"/>
        <v/>
      </c>
      <c r="L59" s="43" t="str">
        <f t="shared" ca="1" si="6"/>
        <v/>
      </c>
      <c r="M59" s="43" t="str">
        <f t="shared" ca="1" si="6"/>
        <v/>
      </c>
      <c r="N59" s="43" t="str">
        <f t="shared" ca="1" si="6"/>
        <v/>
      </c>
      <c r="O59" s="43" t="str">
        <f t="shared" ca="1" si="6"/>
        <v/>
      </c>
      <c r="P59" s="43" t="str">
        <f t="shared" ca="1" si="6"/>
        <v/>
      </c>
      <c r="Q59" s="43" t="str">
        <f t="shared" ca="1" si="6"/>
        <v/>
      </c>
      <c r="R59" s="43" t="str">
        <f t="shared" ca="1" si="6"/>
        <v/>
      </c>
      <c r="S59" s="44" t="str">
        <f t="shared" si="1"/>
        <v/>
      </c>
      <c r="T59" s="43" t="str">
        <f>IF($C59="","",SUMIFS(Overview!$G$18:$G$32,Overview!$D$18:$D$32,"&lt;="&amp;$C59,Overview!$E$18:$E$32,"&gt;="&amp;$C59))</f>
        <v/>
      </c>
      <c r="U59" s="43" t="str">
        <f ca="1">IF(OR($C59="",Overview!$I$33=""),"",IF($C59&gt;Overview!$I$33,"",SUM($S$12:S59)))</f>
        <v/>
      </c>
      <c r="V59" s="43" t="str">
        <f>IF($C59="","",SUM($T$12:T59))</f>
        <v/>
      </c>
      <c r="W59" s="45" t="str">
        <f t="shared" ca="1" si="2"/>
        <v/>
      </c>
    </row>
    <row r="60" spans="3:23" x14ac:dyDescent="0.35">
      <c r="C60" s="42" t="str">
        <f>IF(OR(Overview!$D$33="",Overview!$E$33=""),"",IF(Overview!$D$33+48&gt;Overview!$E$33,"",Overview!$D$33+48))</f>
        <v/>
      </c>
      <c r="D60" s="43" t="str">
        <f t="shared" ca="1" si="6"/>
        <v/>
      </c>
      <c r="E60" s="43" t="str">
        <f t="shared" ca="1" si="6"/>
        <v/>
      </c>
      <c r="F60" s="43" t="str">
        <f t="shared" ca="1" si="6"/>
        <v/>
      </c>
      <c r="G60" s="43" t="str">
        <f t="shared" ca="1" si="6"/>
        <v/>
      </c>
      <c r="H60" s="43" t="str">
        <f t="shared" ca="1" si="6"/>
        <v/>
      </c>
      <c r="I60" s="43" t="str">
        <f t="shared" ca="1" si="6"/>
        <v/>
      </c>
      <c r="J60" s="43" t="str">
        <f t="shared" ca="1" si="6"/>
        <v/>
      </c>
      <c r="K60" s="43" t="str">
        <f t="shared" ca="1" si="6"/>
        <v/>
      </c>
      <c r="L60" s="43" t="str">
        <f t="shared" ca="1" si="6"/>
        <v/>
      </c>
      <c r="M60" s="43" t="str">
        <f t="shared" ca="1" si="6"/>
        <v/>
      </c>
      <c r="N60" s="43" t="str">
        <f t="shared" ca="1" si="6"/>
        <v/>
      </c>
      <c r="O60" s="43" t="str">
        <f t="shared" ca="1" si="6"/>
        <v/>
      </c>
      <c r="P60" s="43" t="str">
        <f t="shared" ca="1" si="6"/>
        <v/>
      </c>
      <c r="Q60" s="43" t="str">
        <f t="shared" ca="1" si="6"/>
        <v/>
      </c>
      <c r="R60" s="43" t="str">
        <f t="shared" ca="1" si="6"/>
        <v/>
      </c>
      <c r="S60" s="44" t="str">
        <f t="shared" si="1"/>
        <v/>
      </c>
      <c r="T60" s="43" t="str">
        <f>IF($C60="","",SUMIFS(Overview!$G$18:$G$32,Overview!$D$18:$D$32,"&lt;="&amp;$C60,Overview!$E$18:$E$32,"&gt;="&amp;$C60))</f>
        <v/>
      </c>
      <c r="U60" s="43" t="str">
        <f ca="1">IF(OR($C60="",Overview!$I$33=""),"",IF($C60&gt;Overview!$I$33,"",SUM($S$12:S60)))</f>
        <v/>
      </c>
      <c r="V60" s="43" t="str">
        <f>IF($C60="","",SUM($T$12:T60))</f>
        <v/>
      </c>
      <c r="W60" s="45" t="str">
        <f t="shared" ca="1" si="2"/>
        <v/>
      </c>
    </row>
    <row r="61" spans="3:23" x14ac:dyDescent="0.35">
      <c r="C61" s="42" t="str">
        <f>IF(OR(Overview!$D$33="",Overview!$E$33=""),"",IF(Overview!$D$33+49&gt;Overview!$E$33,"",Overview!$D$33+49))</f>
        <v/>
      </c>
      <c r="D61" s="43" t="str">
        <f t="shared" ca="1" si="6"/>
        <v/>
      </c>
      <c r="E61" s="43" t="str">
        <f t="shared" ca="1" si="6"/>
        <v/>
      </c>
      <c r="F61" s="43" t="str">
        <f t="shared" ca="1" si="6"/>
        <v/>
      </c>
      <c r="G61" s="43" t="str">
        <f t="shared" ca="1" si="6"/>
        <v/>
      </c>
      <c r="H61" s="43" t="str">
        <f t="shared" ca="1" si="6"/>
        <v/>
      </c>
      <c r="I61" s="43" t="str">
        <f t="shared" ca="1" si="6"/>
        <v/>
      </c>
      <c r="J61" s="43" t="str">
        <f t="shared" ca="1" si="6"/>
        <v/>
      </c>
      <c r="K61" s="43" t="str">
        <f t="shared" ca="1" si="6"/>
        <v/>
      </c>
      <c r="L61" s="43" t="str">
        <f t="shared" ca="1" si="6"/>
        <v/>
      </c>
      <c r="M61" s="43" t="str">
        <f t="shared" ca="1" si="6"/>
        <v/>
      </c>
      <c r="N61" s="43" t="str">
        <f t="shared" ca="1" si="6"/>
        <v/>
      </c>
      <c r="O61" s="43" t="str">
        <f t="shared" ca="1" si="6"/>
        <v/>
      </c>
      <c r="P61" s="43" t="str">
        <f t="shared" ca="1" si="6"/>
        <v/>
      </c>
      <c r="Q61" s="43" t="str">
        <f t="shared" ca="1" si="6"/>
        <v/>
      </c>
      <c r="R61" s="43" t="str">
        <f t="shared" ca="1" si="6"/>
        <v/>
      </c>
      <c r="S61" s="44" t="str">
        <f t="shared" si="1"/>
        <v/>
      </c>
      <c r="T61" s="43" t="str">
        <f>IF($C61="","",SUMIFS(Overview!$G$18:$G$32,Overview!$D$18:$D$32,"&lt;="&amp;$C61,Overview!$E$18:$E$32,"&gt;="&amp;$C61))</f>
        <v/>
      </c>
      <c r="U61" s="43" t="str">
        <f ca="1">IF(OR($C61="",Overview!$I$33=""),"",IF($C61&gt;Overview!$I$33,"",SUM($S$12:S61)))</f>
        <v/>
      </c>
      <c r="V61" s="43" t="str">
        <f>IF($C61="","",SUM($T$12:T61))</f>
        <v/>
      </c>
      <c r="W61" s="45" t="str">
        <f t="shared" ca="1" si="2"/>
        <v/>
      </c>
    </row>
    <row r="62" spans="3:23" x14ac:dyDescent="0.35">
      <c r="C62" s="42" t="str">
        <f>IF(OR(Overview!$D$33="",Overview!$E$33=""),"",IF(Overview!$D$33+50&gt;Overview!$E$33,"",Overview!$D$33+50))</f>
        <v/>
      </c>
      <c r="D62" s="43" t="str">
        <f t="shared" ref="D62:R71" ca="1" si="7">IF(OR($C62="",D$11=""),"",IFERROR(SUMIFS(INDIRECT("'"&amp;D$11&amp;"'!$F$14:$F$10013"),INDIRECT("'"&amp;D$11&amp;"'!$C$14:$C$10013"),$C62),""))</f>
        <v/>
      </c>
      <c r="E62" s="43" t="str">
        <f t="shared" ca="1" si="7"/>
        <v/>
      </c>
      <c r="F62" s="43" t="str">
        <f t="shared" ca="1" si="7"/>
        <v/>
      </c>
      <c r="G62" s="43" t="str">
        <f t="shared" ca="1" si="7"/>
        <v/>
      </c>
      <c r="H62" s="43" t="str">
        <f t="shared" ca="1" si="7"/>
        <v/>
      </c>
      <c r="I62" s="43" t="str">
        <f t="shared" ca="1" si="7"/>
        <v/>
      </c>
      <c r="J62" s="43" t="str">
        <f t="shared" ca="1" si="7"/>
        <v/>
      </c>
      <c r="K62" s="43" t="str">
        <f t="shared" ca="1" si="7"/>
        <v/>
      </c>
      <c r="L62" s="43" t="str">
        <f t="shared" ca="1" si="7"/>
        <v/>
      </c>
      <c r="M62" s="43" t="str">
        <f t="shared" ca="1" si="7"/>
        <v/>
      </c>
      <c r="N62" s="43" t="str">
        <f t="shared" ca="1" si="7"/>
        <v/>
      </c>
      <c r="O62" s="43" t="str">
        <f t="shared" ca="1" si="7"/>
        <v/>
      </c>
      <c r="P62" s="43" t="str">
        <f t="shared" ca="1" si="7"/>
        <v/>
      </c>
      <c r="Q62" s="43" t="str">
        <f t="shared" ca="1" si="7"/>
        <v/>
      </c>
      <c r="R62" s="43" t="str">
        <f t="shared" ca="1" si="7"/>
        <v/>
      </c>
      <c r="S62" s="44" t="str">
        <f t="shared" si="1"/>
        <v/>
      </c>
      <c r="T62" s="43" t="str">
        <f>IF($C62="","",SUMIFS(Overview!$G$18:$G$32,Overview!$D$18:$D$32,"&lt;="&amp;$C62,Overview!$E$18:$E$32,"&gt;="&amp;$C62))</f>
        <v/>
      </c>
      <c r="U62" s="43" t="str">
        <f ca="1">IF(OR($C62="",Overview!$I$33=""),"",IF($C62&gt;Overview!$I$33,"",SUM($S$12:S62)))</f>
        <v/>
      </c>
      <c r="V62" s="43" t="str">
        <f>IF($C62="","",SUM($T$12:T62))</f>
        <v/>
      </c>
      <c r="W62" s="45" t="str">
        <f t="shared" ca="1" si="2"/>
        <v/>
      </c>
    </row>
    <row r="63" spans="3:23" x14ac:dyDescent="0.35">
      <c r="C63" s="42" t="str">
        <f>IF(OR(Overview!$D$33="",Overview!$E$33=""),"",IF(Overview!$D$33+51&gt;Overview!$E$33,"",Overview!$D$33+51))</f>
        <v/>
      </c>
      <c r="D63" s="43" t="str">
        <f t="shared" ca="1" si="7"/>
        <v/>
      </c>
      <c r="E63" s="43" t="str">
        <f t="shared" ca="1" si="7"/>
        <v/>
      </c>
      <c r="F63" s="43" t="str">
        <f t="shared" ca="1" si="7"/>
        <v/>
      </c>
      <c r="G63" s="43" t="str">
        <f t="shared" ca="1" si="7"/>
        <v/>
      </c>
      <c r="H63" s="43" t="str">
        <f t="shared" ca="1" si="7"/>
        <v/>
      </c>
      <c r="I63" s="43" t="str">
        <f t="shared" ca="1" si="7"/>
        <v/>
      </c>
      <c r="J63" s="43" t="str">
        <f t="shared" ca="1" si="7"/>
        <v/>
      </c>
      <c r="K63" s="43" t="str">
        <f t="shared" ca="1" si="7"/>
        <v/>
      </c>
      <c r="L63" s="43" t="str">
        <f t="shared" ca="1" si="7"/>
        <v/>
      </c>
      <c r="M63" s="43" t="str">
        <f t="shared" ca="1" si="7"/>
        <v/>
      </c>
      <c r="N63" s="43" t="str">
        <f t="shared" ca="1" si="7"/>
        <v/>
      </c>
      <c r="O63" s="43" t="str">
        <f t="shared" ca="1" si="7"/>
        <v/>
      </c>
      <c r="P63" s="43" t="str">
        <f t="shared" ca="1" si="7"/>
        <v/>
      </c>
      <c r="Q63" s="43" t="str">
        <f t="shared" ca="1" si="7"/>
        <v/>
      </c>
      <c r="R63" s="43" t="str">
        <f t="shared" ca="1" si="7"/>
        <v/>
      </c>
      <c r="S63" s="44" t="str">
        <f t="shared" si="1"/>
        <v/>
      </c>
      <c r="T63" s="43" t="str">
        <f>IF($C63="","",SUMIFS(Overview!$G$18:$G$32,Overview!$D$18:$D$32,"&lt;="&amp;$C63,Overview!$E$18:$E$32,"&gt;="&amp;$C63))</f>
        <v/>
      </c>
      <c r="U63" s="43" t="str">
        <f ca="1">IF(OR($C63="",Overview!$I$33=""),"",IF($C63&gt;Overview!$I$33,"",SUM($S$12:S63)))</f>
        <v/>
      </c>
      <c r="V63" s="43" t="str">
        <f>IF($C63="","",SUM($T$12:T63))</f>
        <v/>
      </c>
      <c r="W63" s="45" t="str">
        <f t="shared" ca="1" si="2"/>
        <v/>
      </c>
    </row>
    <row r="64" spans="3:23" x14ac:dyDescent="0.35">
      <c r="C64" s="42" t="str">
        <f>IF(OR(Overview!$D$33="",Overview!$E$33=""),"",IF(Overview!$D$33+52&gt;Overview!$E$33,"",Overview!$D$33+52))</f>
        <v/>
      </c>
      <c r="D64" s="43" t="str">
        <f t="shared" ca="1" si="7"/>
        <v/>
      </c>
      <c r="E64" s="43" t="str">
        <f t="shared" ca="1" si="7"/>
        <v/>
      </c>
      <c r="F64" s="43" t="str">
        <f t="shared" ca="1" si="7"/>
        <v/>
      </c>
      <c r="G64" s="43" t="str">
        <f t="shared" ca="1" si="7"/>
        <v/>
      </c>
      <c r="H64" s="43" t="str">
        <f t="shared" ca="1" si="7"/>
        <v/>
      </c>
      <c r="I64" s="43" t="str">
        <f t="shared" ca="1" si="7"/>
        <v/>
      </c>
      <c r="J64" s="43" t="str">
        <f t="shared" ca="1" si="7"/>
        <v/>
      </c>
      <c r="K64" s="43" t="str">
        <f t="shared" ca="1" si="7"/>
        <v/>
      </c>
      <c r="L64" s="43" t="str">
        <f t="shared" ca="1" si="7"/>
        <v/>
      </c>
      <c r="M64" s="43" t="str">
        <f t="shared" ca="1" si="7"/>
        <v/>
      </c>
      <c r="N64" s="43" t="str">
        <f t="shared" ca="1" si="7"/>
        <v/>
      </c>
      <c r="O64" s="43" t="str">
        <f t="shared" ca="1" si="7"/>
        <v/>
      </c>
      <c r="P64" s="43" t="str">
        <f t="shared" ca="1" si="7"/>
        <v/>
      </c>
      <c r="Q64" s="43" t="str">
        <f t="shared" ca="1" si="7"/>
        <v/>
      </c>
      <c r="R64" s="43" t="str">
        <f t="shared" ca="1" si="7"/>
        <v/>
      </c>
      <c r="S64" s="44" t="str">
        <f t="shared" si="1"/>
        <v/>
      </c>
      <c r="T64" s="43" t="str">
        <f>IF($C64="","",SUMIFS(Overview!$G$18:$G$32,Overview!$D$18:$D$32,"&lt;="&amp;$C64,Overview!$E$18:$E$32,"&gt;="&amp;$C64))</f>
        <v/>
      </c>
      <c r="U64" s="43" t="str">
        <f ca="1">IF(OR($C64="",Overview!$I$33=""),"",IF($C64&gt;Overview!$I$33,"",SUM($S$12:S64)))</f>
        <v/>
      </c>
      <c r="V64" s="43" t="str">
        <f>IF($C64="","",SUM($T$12:T64))</f>
        <v/>
      </c>
      <c r="W64" s="45" t="str">
        <f t="shared" ca="1" si="2"/>
        <v/>
      </c>
    </row>
    <row r="65" spans="3:23" x14ac:dyDescent="0.35">
      <c r="C65" s="42" t="str">
        <f>IF(OR(Overview!$D$33="",Overview!$E$33=""),"",IF(Overview!$D$33+53&gt;Overview!$E$33,"",Overview!$D$33+53))</f>
        <v/>
      </c>
      <c r="D65" s="43" t="str">
        <f t="shared" ca="1" si="7"/>
        <v/>
      </c>
      <c r="E65" s="43" t="str">
        <f t="shared" ca="1" si="7"/>
        <v/>
      </c>
      <c r="F65" s="43" t="str">
        <f t="shared" ca="1" si="7"/>
        <v/>
      </c>
      <c r="G65" s="43" t="str">
        <f t="shared" ca="1" si="7"/>
        <v/>
      </c>
      <c r="H65" s="43" t="str">
        <f t="shared" ca="1" si="7"/>
        <v/>
      </c>
      <c r="I65" s="43" t="str">
        <f t="shared" ca="1" si="7"/>
        <v/>
      </c>
      <c r="J65" s="43" t="str">
        <f t="shared" ca="1" si="7"/>
        <v/>
      </c>
      <c r="K65" s="43" t="str">
        <f t="shared" ca="1" si="7"/>
        <v/>
      </c>
      <c r="L65" s="43" t="str">
        <f t="shared" ca="1" si="7"/>
        <v/>
      </c>
      <c r="M65" s="43" t="str">
        <f t="shared" ca="1" si="7"/>
        <v/>
      </c>
      <c r="N65" s="43" t="str">
        <f t="shared" ca="1" si="7"/>
        <v/>
      </c>
      <c r="O65" s="43" t="str">
        <f t="shared" ca="1" si="7"/>
        <v/>
      </c>
      <c r="P65" s="43" t="str">
        <f t="shared" ca="1" si="7"/>
        <v/>
      </c>
      <c r="Q65" s="43" t="str">
        <f t="shared" ca="1" si="7"/>
        <v/>
      </c>
      <c r="R65" s="43" t="str">
        <f t="shared" ca="1" si="7"/>
        <v/>
      </c>
      <c r="S65" s="44" t="str">
        <f t="shared" si="1"/>
        <v/>
      </c>
      <c r="T65" s="43" t="str">
        <f>IF($C65="","",SUMIFS(Overview!$G$18:$G$32,Overview!$D$18:$D$32,"&lt;="&amp;$C65,Overview!$E$18:$E$32,"&gt;="&amp;$C65))</f>
        <v/>
      </c>
      <c r="U65" s="43" t="str">
        <f ca="1">IF(OR($C65="",Overview!$I$33=""),"",IF($C65&gt;Overview!$I$33,"",SUM($S$12:S65)))</f>
        <v/>
      </c>
      <c r="V65" s="43" t="str">
        <f>IF($C65="","",SUM($T$12:T65))</f>
        <v/>
      </c>
      <c r="W65" s="45" t="str">
        <f t="shared" ca="1" si="2"/>
        <v/>
      </c>
    </row>
    <row r="66" spans="3:23" x14ac:dyDescent="0.35">
      <c r="C66" s="42" t="str">
        <f>IF(OR(Overview!$D$33="",Overview!$E$33=""),"",IF(Overview!$D$33+54&gt;Overview!$E$33,"",Overview!$D$33+54))</f>
        <v/>
      </c>
      <c r="D66" s="43" t="str">
        <f t="shared" ca="1" si="7"/>
        <v/>
      </c>
      <c r="E66" s="43" t="str">
        <f t="shared" ca="1" si="7"/>
        <v/>
      </c>
      <c r="F66" s="43" t="str">
        <f t="shared" ca="1" si="7"/>
        <v/>
      </c>
      <c r="G66" s="43" t="str">
        <f t="shared" ca="1" si="7"/>
        <v/>
      </c>
      <c r="H66" s="43" t="str">
        <f t="shared" ca="1" si="7"/>
        <v/>
      </c>
      <c r="I66" s="43" t="str">
        <f t="shared" ca="1" si="7"/>
        <v/>
      </c>
      <c r="J66" s="43" t="str">
        <f t="shared" ca="1" si="7"/>
        <v/>
      </c>
      <c r="K66" s="43" t="str">
        <f t="shared" ca="1" si="7"/>
        <v/>
      </c>
      <c r="L66" s="43" t="str">
        <f t="shared" ca="1" si="7"/>
        <v/>
      </c>
      <c r="M66" s="43" t="str">
        <f t="shared" ca="1" si="7"/>
        <v/>
      </c>
      <c r="N66" s="43" t="str">
        <f t="shared" ca="1" si="7"/>
        <v/>
      </c>
      <c r="O66" s="43" t="str">
        <f t="shared" ca="1" si="7"/>
        <v/>
      </c>
      <c r="P66" s="43" t="str">
        <f t="shared" ca="1" si="7"/>
        <v/>
      </c>
      <c r="Q66" s="43" t="str">
        <f t="shared" ca="1" si="7"/>
        <v/>
      </c>
      <c r="R66" s="43" t="str">
        <f t="shared" ca="1" si="7"/>
        <v/>
      </c>
      <c r="S66" s="44" t="str">
        <f t="shared" si="1"/>
        <v/>
      </c>
      <c r="T66" s="43" t="str">
        <f>IF($C66="","",SUMIFS(Overview!$G$18:$G$32,Overview!$D$18:$D$32,"&lt;="&amp;$C66,Overview!$E$18:$E$32,"&gt;="&amp;$C66))</f>
        <v/>
      </c>
      <c r="U66" s="43" t="str">
        <f ca="1">IF(OR($C66="",Overview!$I$33=""),"",IF($C66&gt;Overview!$I$33,"",SUM($S$12:S66)))</f>
        <v/>
      </c>
      <c r="V66" s="43" t="str">
        <f>IF($C66="","",SUM($T$12:T66))</f>
        <v/>
      </c>
      <c r="W66" s="45" t="str">
        <f t="shared" ca="1" si="2"/>
        <v/>
      </c>
    </row>
    <row r="67" spans="3:23" x14ac:dyDescent="0.35">
      <c r="C67" s="42" t="str">
        <f>IF(OR(Overview!$D$33="",Overview!$E$33=""),"",IF(Overview!$D$33+55&gt;Overview!$E$33,"",Overview!$D$33+55))</f>
        <v/>
      </c>
      <c r="D67" s="43" t="str">
        <f t="shared" ca="1" si="7"/>
        <v/>
      </c>
      <c r="E67" s="43" t="str">
        <f t="shared" ca="1" si="7"/>
        <v/>
      </c>
      <c r="F67" s="43" t="str">
        <f t="shared" ca="1" si="7"/>
        <v/>
      </c>
      <c r="G67" s="43" t="str">
        <f t="shared" ca="1" si="7"/>
        <v/>
      </c>
      <c r="H67" s="43" t="str">
        <f t="shared" ca="1" si="7"/>
        <v/>
      </c>
      <c r="I67" s="43" t="str">
        <f t="shared" ca="1" si="7"/>
        <v/>
      </c>
      <c r="J67" s="43" t="str">
        <f t="shared" ca="1" si="7"/>
        <v/>
      </c>
      <c r="K67" s="43" t="str">
        <f t="shared" ca="1" si="7"/>
        <v/>
      </c>
      <c r="L67" s="43" t="str">
        <f t="shared" ca="1" si="7"/>
        <v/>
      </c>
      <c r="M67" s="43" t="str">
        <f t="shared" ca="1" si="7"/>
        <v/>
      </c>
      <c r="N67" s="43" t="str">
        <f t="shared" ca="1" si="7"/>
        <v/>
      </c>
      <c r="O67" s="43" t="str">
        <f t="shared" ca="1" si="7"/>
        <v/>
      </c>
      <c r="P67" s="43" t="str">
        <f t="shared" ca="1" si="7"/>
        <v/>
      </c>
      <c r="Q67" s="43" t="str">
        <f t="shared" ca="1" si="7"/>
        <v/>
      </c>
      <c r="R67" s="43" t="str">
        <f t="shared" ca="1" si="7"/>
        <v/>
      </c>
      <c r="S67" s="44" t="str">
        <f t="shared" si="1"/>
        <v/>
      </c>
      <c r="T67" s="43" t="str">
        <f>IF($C67="","",SUMIFS(Overview!$G$18:$G$32,Overview!$D$18:$D$32,"&lt;="&amp;$C67,Overview!$E$18:$E$32,"&gt;="&amp;$C67))</f>
        <v/>
      </c>
      <c r="U67" s="43" t="str">
        <f ca="1">IF(OR($C67="",Overview!$I$33=""),"",IF($C67&gt;Overview!$I$33,"",SUM($S$12:S67)))</f>
        <v/>
      </c>
      <c r="V67" s="43" t="str">
        <f>IF($C67="","",SUM($T$12:T67))</f>
        <v/>
      </c>
      <c r="W67" s="45" t="str">
        <f t="shared" ca="1" si="2"/>
        <v/>
      </c>
    </row>
    <row r="68" spans="3:23" x14ac:dyDescent="0.35">
      <c r="C68" s="42" t="str">
        <f>IF(OR(Overview!$D$33="",Overview!$E$33=""),"",IF(Overview!$D$33+56&gt;Overview!$E$33,"",Overview!$D$33+56))</f>
        <v/>
      </c>
      <c r="D68" s="43" t="str">
        <f t="shared" ca="1" si="7"/>
        <v/>
      </c>
      <c r="E68" s="43" t="str">
        <f t="shared" ca="1" si="7"/>
        <v/>
      </c>
      <c r="F68" s="43" t="str">
        <f t="shared" ca="1" si="7"/>
        <v/>
      </c>
      <c r="G68" s="43" t="str">
        <f t="shared" ca="1" si="7"/>
        <v/>
      </c>
      <c r="H68" s="43" t="str">
        <f t="shared" ca="1" si="7"/>
        <v/>
      </c>
      <c r="I68" s="43" t="str">
        <f t="shared" ca="1" si="7"/>
        <v/>
      </c>
      <c r="J68" s="43" t="str">
        <f t="shared" ca="1" si="7"/>
        <v/>
      </c>
      <c r="K68" s="43" t="str">
        <f t="shared" ca="1" si="7"/>
        <v/>
      </c>
      <c r="L68" s="43" t="str">
        <f t="shared" ca="1" si="7"/>
        <v/>
      </c>
      <c r="M68" s="43" t="str">
        <f t="shared" ca="1" si="7"/>
        <v/>
      </c>
      <c r="N68" s="43" t="str">
        <f t="shared" ca="1" si="7"/>
        <v/>
      </c>
      <c r="O68" s="43" t="str">
        <f t="shared" ca="1" si="7"/>
        <v/>
      </c>
      <c r="P68" s="43" t="str">
        <f t="shared" ca="1" si="7"/>
        <v/>
      </c>
      <c r="Q68" s="43" t="str">
        <f t="shared" ca="1" si="7"/>
        <v/>
      </c>
      <c r="R68" s="43" t="str">
        <f t="shared" ca="1" si="7"/>
        <v/>
      </c>
      <c r="S68" s="44" t="str">
        <f t="shared" si="1"/>
        <v/>
      </c>
      <c r="T68" s="43" t="str">
        <f>IF($C68="","",SUMIFS(Overview!$G$18:$G$32,Overview!$D$18:$D$32,"&lt;="&amp;$C68,Overview!$E$18:$E$32,"&gt;="&amp;$C68))</f>
        <v/>
      </c>
      <c r="U68" s="43" t="str">
        <f ca="1">IF(OR($C68="",Overview!$I$33=""),"",IF($C68&gt;Overview!$I$33,"",SUM($S$12:S68)))</f>
        <v/>
      </c>
      <c r="V68" s="43" t="str">
        <f>IF($C68="","",SUM($T$12:T68))</f>
        <v/>
      </c>
      <c r="W68" s="45" t="str">
        <f t="shared" ca="1" si="2"/>
        <v/>
      </c>
    </row>
    <row r="69" spans="3:23" x14ac:dyDescent="0.35">
      <c r="C69" s="42" t="str">
        <f>IF(OR(Overview!$D$33="",Overview!$E$33=""),"",IF(Overview!$D$33+57&gt;Overview!$E$33,"",Overview!$D$33+57))</f>
        <v/>
      </c>
      <c r="D69" s="43" t="str">
        <f t="shared" ca="1" si="7"/>
        <v/>
      </c>
      <c r="E69" s="43" t="str">
        <f t="shared" ca="1" si="7"/>
        <v/>
      </c>
      <c r="F69" s="43" t="str">
        <f t="shared" ca="1" si="7"/>
        <v/>
      </c>
      <c r="G69" s="43" t="str">
        <f t="shared" ca="1" si="7"/>
        <v/>
      </c>
      <c r="H69" s="43" t="str">
        <f t="shared" ca="1" si="7"/>
        <v/>
      </c>
      <c r="I69" s="43" t="str">
        <f t="shared" ca="1" si="7"/>
        <v/>
      </c>
      <c r="J69" s="43" t="str">
        <f t="shared" ca="1" si="7"/>
        <v/>
      </c>
      <c r="K69" s="43" t="str">
        <f t="shared" ca="1" si="7"/>
        <v/>
      </c>
      <c r="L69" s="43" t="str">
        <f t="shared" ca="1" si="7"/>
        <v/>
      </c>
      <c r="M69" s="43" t="str">
        <f t="shared" ca="1" si="7"/>
        <v/>
      </c>
      <c r="N69" s="43" t="str">
        <f t="shared" ca="1" si="7"/>
        <v/>
      </c>
      <c r="O69" s="43" t="str">
        <f t="shared" ca="1" si="7"/>
        <v/>
      </c>
      <c r="P69" s="43" t="str">
        <f t="shared" ca="1" si="7"/>
        <v/>
      </c>
      <c r="Q69" s="43" t="str">
        <f t="shared" ca="1" si="7"/>
        <v/>
      </c>
      <c r="R69" s="43" t="str">
        <f t="shared" ca="1" si="7"/>
        <v/>
      </c>
      <c r="S69" s="44" t="str">
        <f t="shared" si="1"/>
        <v/>
      </c>
      <c r="T69" s="43" t="str">
        <f>IF($C69="","",SUMIFS(Overview!$G$18:$G$32,Overview!$D$18:$D$32,"&lt;="&amp;$C69,Overview!$E$18:$E$32,"&gt;="&amp;$C69))</f>
        <v/>
      </c>
      <c r="U69" s="43" t="str">
        <f ca="1">IF(OR($C69="",Overview!$I$33=""),"",IF($C69&gt;Overview!$I$33,"",SUM($S$12:S69)))</f>
        <v/>
      </c>
      <c r="V69" s="43" t="str">
        <f>IF($C69="","",SUM($T$12:T69))</f>
        <v/>
      </c>
      <c r="W69" s="45" t="str">
        <f t="shared" ca="1" si="2"/>
        <v/>
      </c>
    </row>
    <row r="70" spans="3:23" x14ac:dyDescent="0.35">
      <c r="C70" s="42" t="str">
        <f>IF(OR(Overview!$D$33="",Overview!$E$33=""),"",IF(Overview!$D$33+58&gt;Overview!$E$33,"",Overview!$D$33+58))</f>
        <v/>
      </c>
      <c r="D70" s="43" t="str">
        <f t="shared" ca="1" si="7"/>
        <v/>
      </c>
      <c r="E70" s="43" t="str">
        <f t="shared" ca="1" si="7"/>
        <v/>
      </c>
      <c r="F70" s="43" t="str">
        <f t="shared" ca="1" si="7"/>
        <v/>
      </c>
      <c r="G70" s="43" t="str">
        <f t="shared" ca="1" si="7"/>
        <v/>
      </c>
      <c r="H70" s="43" t="str">
        <f t="shared" ca="1" si="7"/>
        <v/>
      </c>
      <c r="I70" s="43" t="str">
        <f t="shared" ca="1" si="7"/>
        <v/>
      </c>
      <c r="J70" s="43" t="str">
        <f t="shared" ca="1" si="7"/>
        <v/>
      </c>
      <c r="K70" s="43" t="str">
        <f t="shared" ca="1" si="7"/>
        <v/>
      </c>
      <c r="L70" s="43" t="str">
        <f t="shared" ca="1" si="7"/>
        <v/>
      </c>
      <c r="M70" s="43" t="str">
        <f t="shared" ca="1" si="7"/>
        <v/>
      </c>
      <c r="N70" s="43" t="str">
        <f t="shared" ca="1" si="7"/>
        <v/>
      </c>
      <c r="O70" s="43" t="str">
        <f t="shared" ca="1" si="7"/>
        <v/>
      </c>
      <c r="P70" s="43" t="str">
        <f t="shared" ca="1" si="7"/>
        <v/>
      </c>
      <c r="Q70" s="43" t="str">
        <f t="shared" ca="1" si="7"/>
        <v/>
      </c>
      <c r="R70" s="43" t="str">
        <f t="shared" ca="1" si="7"/>
        <v/>
      </c>
      <c r="S70" s="44" t="str">
        <f t="shared" si="1"/>
        <v/>
      </c>
      <c r="T70" s="43" t="str">
        <f>IF($C70="","",SUMIFS(Overview!$G$18:$G$32,Overview!$D$18:$D$32,"&lt;="&amp;$C70,Overview!$E$18:$E$32,"&gt;="&amp;$C70))</f>
        <v/>
      </c>
      <c r="U70" s="43" t="str">
        <f ca="1">IF(OR($C70="",Overview!$I$33=""),"",IF($C70&gt;Overview!$I$33,"",SUM($S$12:S70)))</f>
        <v/>
      </c>
      <c r="V70" s="43" t="str">
        <f>IF($C70="","",SUM($T$12:T70))</f>
        <v/>
      </c>
      <c r="W70" s="45" t="str">
        <f t="shared" ca="1" si="2"/>
        <v/>
      </c>
    </row>
    <row r="71" spans="3:23" x14ac:dyDescent="0.35">
      <c r="C71" s="42" t="str">
        <f>IF(OR(Overview!$D$33="",Overview!$E$33=""),"",IF(Overview!$D$33+59&gt;Overview!$E$33,"",Overview!$D$33+59))</f>
        <v/>
      </c>
      <c r="D71" s="43" t="str">
        <f t="shared" ca="1" si="7"/>
        <v/>
      </c>
      <c r="E71" s="43" t="str">
        <f t="shared" ca="1" si="7"/>
        <v/>
      </c>
      <c r="F71" s="43" t="str">
        <f t="shared" ca="1" si="7"/>
        <v/>
      </c>
      <c r="G71" s="43" t="str">
        <f t="shared" ca="1" si="7"/>
        <v/>
      </c>
      <c r="H71" s="43" t="str">
        <f t="shared" ca="1" si="7"/>
        <v/>
      </c>
      <c r="I71" s="43" t="str">
        <f t="shared" ca="1" si="7"/>
        <v/>
      </c>
      <c r="J71" s="43" t="str">
        <f t="shared" ca="1" si="7"/>
        <v/>
      </c>
      <c r="K71" s="43" t="str">
        <f t="shared" ca="1" si="7"/>
        <v/>
      </c>
      <c r="L71" s="43" t="str">
        <f t="shared" ca="1" si="7"/>
        <v/>
      </c>
      <c r="M71" s="43" t="str">
        <f t="shared" ca="1" si="7"/>
        <v/>
      </c>
      <c r="N71" s="43" t="str">
        <f t="shared" ca="1" si="7"/>
        <v/>
      </c>
      <c r="O71" s="43" t="str">
        <f t="shared" ca="1" si="7"/>
        <v/>
      </c>
      <c r="P71" s="43" t="str">
        <f t="shared" ca="1" si="7"/>
        <v/>
      </c>
      <c r="Q71" s="43" t="str">
        <f t="shared" ca="1" si="7"/>
        <v/>
      </c>
      <c r="R71" s="43" t="str">
        <f t="shared" ca="1" si="7"/>
        <v/>
      </c>
      <c r="S71" s="44" t="str">
        <f t="shared" si="1"/>
        <v/>
      </c>
      <c r="T71" s="43" t="str">
        <f>IF($C71="","",SUMIFS(Overview!$G$18:$G$32,Overview!$D$18:$D$32,"&lt;="&amp;$C71,Overview!$E$18:$E$32,"&gt;="&amp;$C71))</f>
        <v/>
      </c>
      <c r="U71" s="43" t="str">
        <f ca="1">IF(OR($C71="",Overview!$I$33=""),"",IF($C71&gt;Overview!$I$33,"",SUM($S$12:S71)))</f>
        <v/>
      </c>
      <c r="V71" s="43" t="str">
        <f>IF($C71="","",SUM($T$12:T71))</f>
        <v/>
      </c>
      <c r="W71" s="45" t="str">
        <f t="shared" ca="1" si="2"/>
        <v/>
      </c>
    </row>
    <row r="72" spans="3:23" x14ac:dyDescent="0.35">
      <c r="C72" s="42" t="str">
        <f>IF(OR(Overview!$D$33="",Overview!$E$33=""),"",IF(Overview!$D$33+60&gt;Overview!$E$33,"",Overview!$D$33+60))</f>
        <v/>
      </c>
      <c r="D72" s="43" t="str">
        <f t="shared" ref="D72:R81" ca="1" si="8">IF(OR($C72="",D$11=""),"",IFERROR(SUMIFS(INDIRECT("'"&amp;D$11&amp;"'!$F$14:$F$10013"),INDIRECT("'"&amp;D$11&amp;"'!$C$14:$C$10013"),$C72),""))</f>
        <v/>
      </c>
      <c r="E72" s="43" t="str">
        <f t="shared" ca="1" si="8"/>
        <v/>
      </c>
      <c r="F72" s="43" t="str">
        <f t="shared" ca="1" si="8"/>
        <v/>
      </c>
      <c r="G72" s="43" t="str">
        <f t="shared" ca="1" si="8"/>
        <v/>
      </c>
      <c r="H72" s="43" t="str">
        <f t="shared" ca="1" si="8"/>
        <v/>
      </c>
      <c r="I72" s="43" t="str">
        <f t="shared" ca="1" si="8"/>
        <v/>
      </c>
      <c r="J72" s="43" t="str">
        <f t="shared" ca="1" si="8"/>
        <v/>
      </c>
      <c r="K72" s="43" t="str">
        <f t="shared" ca="1" si="8"/>
        <v/>
      </c>
      <c r="L72" s="43" t="str">
        <f t="shared" ca="1" si="8"/>
        <v/>
      </c>
      <c r="M72" s="43" t="str">
        <f t="shared" ca="1" si="8"/>
        <v/>
      </c>
      <c r="N72" s="43" t="str">
        <f t="shared" ca="1" si="8"/>
        <v/>
      </c>
      <c r="O72" s="43" t="str">
        <f t="shared" ca="1" si="8"/>
        <v/>
      </c>
      <c r="P72" s="43" t="str">
        <f t="shared" ca="1" si="8"/>
        <v/>
      </c>
      <c r="Q72" s="43" t="str">
        <f t="shared" ca="1" si="8"/>
        <v/>
      </c>
      <c r="R72" s="43" t="str">
        <f t="shared" ca="1" si="8"/>
        <v/>
      </c>
      <c r="S72" s="44" t="str">
        <f t="shared" si="1"/>
        <v/>
      </c>
      <c r="T72" s="43" t="str">
        <f>IF($C72="","",SUMIFS(Overview!$G$18:$G$32,Overview!$D$18:$D$32,"&lt;="&amp;$C72,Overview!$E$18:$E$32,"&gt;="&amp;$C72))</f>
        <v/>
      </c>
      <c r="U72" s="43" t="str">
        <f ca="1">IF(OR($C72="",Overview!$I$33=""),"",IF($C72&gt;Overview!$I$33,"",SUM($S$12:S72)))</f>
        <v/>
      </c>
      <c r="V72" s="43" t="str">
        <f>IF($C72="","",SUM($T$12:T72))</f>
        <v/>
      </c>
      <c r="W72" s="45" t="str">
        <f t="shared" ca="1" si="2"/>
        <v/>
      </c>
    </row>
    <row r="73" spans="3:23" x14ac:dyDescent="0.35">
      <c r="C73" s="42" t="str">
        <f>IF(OR(Overview!$D$33="",Overview!$E$33=""),"",IF(Overview!$D$33+61&gt;Overview!$E$33,"",Overview!$D$33+61))</f>
        <v/>
      </c>
      <c r="D73" s="43" t="str">
        <f t="shared" ca="1" si="8"/>
        <v/>
      </c>
      <c r="E73" s="43" t="str">
        <f t="shared" ca="1" si="8"/>
        <v/>
      </c>
      <c r="F73" s="43" t="str">
        <f t="shared" ca="1" si="8"/>
        <v/>
      </c>
      <c r="G73" s="43" t="str">
        <f t="shared" ca="1" si="8"/>
        <v/>
      </c>
      <c r="H73" s="43" t="str">
        <f t="shared" ca="1" si="8"/>
        <v/>
      </c>
      <c r="I73" s="43" t="str">
        <f t="shared" ca="1" si="8"/>
        <v/>
      </c>
      <c r="J73" s="43" t="str">
        <f t="shared" ca="1" si="8"/>
        <v/>
      </c>
      <c r="K73" s="43" t="str">
        <f t="shared" ca="1" si="8"/>
        <v/>
      </c>
      <c r="L73" s="43" t="str">
        <f t="shared" ca="1" si="8"/>
        <v/>
      </c>
      <c r="M73" s="43" t="str">
        <f t="shared" ca="1" si="8"/>
        <v/>
      </c>
      <c r="N73" s="43" t="str">
        <f t="shared" ca="1" si="8"/>
        <v/>
      </c>
      <c r="O73" s="43" t="str">
        <f t="shared" ca="1" si="8"/>
        <v/>
      </c>
      <c r="P73" s="43" t="str">
        <f t="shared" ca="1" si="8"/>
        <v/>
      </c>
      <c r="Q73" s="43" t="str">
        <f t="shared" ca="1" si="8"/>
        <v/>
      </c>
      <c r="R73" s="43" t="str">
        <f t="shared" ca="1" si="8"/>
        <v/>
      </c>
      <c r="S73" s="44" t="str">
        <f t="shared" si="1"/>
        <v/>
      </c>
      <c r="T73" s="43" t="str">
        <f>IF($C73="","",SUMIFS(Overview!$G$18:$G$32,Overview!$D$18:$D$32,"&lt;="&amp;$C73,Overview!$E$18:$E$32,"&gt;="&amp;$C73))</f>
        <v/>
      </c>
      <c r="U73" s="43" t="str">
        <f ca="1">IF(OR($C73="",Overview!$I$33=""),"",IF($C73&gt;Overview!$I$33,"",SUM($S$12:S73)))</f>
        <v/>
      </c>
      <c r="V73" s="43" t="str">
        <f>IF($C73="","",SUM($T$12:T73))</f>
        <v/>
      </c>
      <c r="W73" s="45" t="str">
        <f t="shared" ca="1" si="2"/>
        <v/>
      </c>
    </row>
    <row r="74" spans="3:23" x14ac:dyDescent="0.35">
      <c r="C74" s="42" t="str">
        <f>IF(OR(Overview!$D$33="",Overview!$E$33=""),"",IF(Overview!$D$33+62&gt;Overview!$E$33,"",Overview!$D$33+62))</f>
        <v/>
      </c>
      <c r="D74" s="43" t="str">
        <f t="shared" ca="1" si="8"/>
        <v/>
      </c>
      <c r="E74" s="43" t="str">
        <f t="shared" ca="1" si="8"/>
        <v/>
      </c>
      <c r="F74" s="43" t="str">
        <f t="shared" ca="1" si="8"/>
        <v/>
      </c>
      <c r="G74" s="43" t="str">
        <f t="shared" ca="1" si="8"/>
        <v/>
      </c>
      <c r="H74" s="43" t="str">
        <f t="shared" ca="1" si="8"/>
        <v/>
      </c>
      <c r="I74" s="43" t="str">
        <f t="shared" ca="1" si="8"/>
        <v/>
      </c>
      <c r="J74" s="43" t="str">
        <f t="shared" ca="1" si="8"/>
        <v/>
      </c>
      <c r="K74" s="43" t="str">
        <f t="shared" ca="1" si="8"/>
        <v/>
      </c>
      <c r="L74" s="43" t="str">
        <f t="shared" ca="1" si="8"/>
        <v/>
      </c>
      <c r="M74" s="43" t="str">
        <f t="shared" ca="1" si="8"/>
        <v/>
      </c>
      <c r="N74" s="43" t="str">
        <f t="shared" ca="1" si="8"/>
        <v/>
      </c>
      <c r="O74" s="43" t="str">
        <f t="shared" ca="1" si="8"/>
        <v/>
      </c>
      <c r="P74" s="43" t="str">
        <f t="shared" ca="1" si="8"/>
        <v/>
      </c>
      <c r="Q74" s="43" t="str">
        <f t="shared" ca="1" si="8"/>
        <v/>
      </c>
      <c r="R74" s="43" t="str">
        <f t="shared" ca="1" si="8"/>
        <v/>
      </c>
      <c r="S74" s="44" t="str">
        <f t="shared" si="1"/>
        <v/>
      </c>
      <c r="T74" s="43" t="str">
        <f>IF($C74="","",SUMIFS(Overview!$G$18:$G$32,Overview!$D$18:$D$32,"&lt;="&amp;$C74,Overview!$E$18:$E$32,"&gt;="&amp;$C74))</f>
        <v/>
      </c>
      <c r="U74" s="43" t="str">
        <f ca="1">IF(OR($C74="",Overview!$I$33=""),"",IF($C74&gt;Overview!$I$33,"",SUM($S$12:S74)))</f>
        <v/>
      </c>
      <c r="V74" s="43" t="str">
        <f>IF($C74="","",SUM($T$12:T74))</f>
        <v/>
      </c>
      <c r="W74" s="45" t="str">
        <f t="shared" ca="1" si="2"/>
        <v/>
      </c>
    </row>
    <row r="75" spans="3:23" x14ac:dyDescent="0.35">
      <c r="C75" s="42" t="str">
        <f>IF(OR(Overview!$D$33="",Overview!$E$33=""),"",IF(Overview!$D$33+63&gt;Overview!$E$33,"",Overview!$D$33+63))</f>
        <v/>
      </c>
      <c r="D75" s="43" t="str">
        <f t="shared" ca="1" si="8"/>
        <v/>
      </c>
      <c r="E75" s="43" t="str">
        <f t="shared" ca="1" si="8"/>
        <v/>
      </c>
      <c r="F75" s="43" t="str">
        <f t="shared" ca="1" si="8"/>
        <v/>
      </c>
      <c r="G75" s="43" t="str">
        <f t="shared" ca="1" si="8"/>
        <v/>
      </c>
      <c r="H75" s="43" t="str">
        <f t="shared" ca="1" si="8"/>
        <v/>
      </c>
      <c r="I75" s="43" t="str">
        <f t="shared" ca="1" si="8"/>
        <v/>
      </c>
      <c r="J75" s="43" t="str">
        <f t="shared" ca="1" si="8"/>
        <v/>
      </c>
      <c r="K75" s="43" t="str">
        <f t="shared" ca="1" si="8"/>
        <v/>
      </c>
      <c r="L75" s="43" t="str">
        <f t="shared" ca="1" si="8"/>
        <v/>
      </c>
      <c r="M75" s="43" t="str">
        <f t="shared" ca="1" si="8"/>
        <v/>
      </c>
      <c r="N75" s="43" t="str">
        <f t="shared" ca="1" si="8"/>
        <v/>
      </c>
      <c r="O75" s="43" t="str">
        <f t="shared" ca="1" si="8"/>
        <v/>
      </c>
      <c r="P75" s="43" t="str">
        <f t="shared" ca="1" si="8"/>
        <v/>
      </c>
      <c r="Q75" s="43" t="str">
        <f t="shared" ca="1" si="8"/>
        <v/>
      </c>
      <c r="R75" s="43" t="str">
        <f t="shared" ca="1" si="8"/>
        <v/>
      </c>
      <c r="S75" s="44" t="str">
        <f t="shared" si="1"/>
        <v/>
      </c>
      <c r="T75" s="43" t="str">
        <f>IF($C75="","",SUMIFS(Overview!$G$18:$G$32,Overview!$D$18:$D$32,"&lt;="&amp;$C75,Overview!$E$18:$E$32,"&gt;="&amp;$C75))</f>
        <v/>
      </c>
      <c r="U75" s="43" t="str">
        <f ca="1">IF(OR($C75="",Overview!$I$33=""),"",IF($C75&gt;Overview!$I$33,"",SUM($S$12:S75)))</f>
        <v/>
      </c>
      <c r="V75" s="43" t="str">
        <f>IF($C75="","",SUM($T$12:T75))</f>
        <v/>
      </c>
      <c r="W75" s="45" t="str">
        <f t="shared" ca="1" si="2"/>
        <v/>
      </c>
    </row>
    <row r="76" spans="3:23" x14ac:dyDescent="0.35">
      <c r="C76" s="42" t="str">
        <f>IF(OR(Overview!$D$33="",Overview!$E$33=""),"",IF(Overview!$D$33+64&gt;Overview!$E$33,"",Overview!$D$33+64))</f>
        <v/>
      </c>
      <c r="D76" s="43" t="str">
        <f t="shared" ca="1" si="8"/>
        <v/>
      </c>
      <c r="E76" s="43" t="str">
        <f t="shared" ca="1" si="8"/>
        <v/>
      </c>
      <c r="F76" s="43" t="str">
        <f t="shared" ca="1" si="8"/>
        <v/>
      </c>
      <c r="G76" s="43" t="str">
        <f t="shared" ca="1" si="8"/>
        <v/>
      </c>
      <c r="H76" s="43" t="str">
        <f t="shared" ca="1" si="8"/>
        <v/>
      </c>
      <c r="I76" s="43" t="str">
        <f t="shared" ca="1" si="8"/>
        <v/>
      </c>
      <c r="J76" s="43" t="str">
        <f t="shared" ca="1" si="8"/>
        <v/>
      </c>
      <c r="K76" s="43" t="str">
        <f t="shared" ca="1" si="8"/>
        <v/>
      </c>
      <c r="L76" s="43" t="str">
        <f t="shared" ca="1" si="8"/>
        <v/>
      </c>
      <c r="M76" s="43" t="str">
        <f t="shared" ca="1" si="8"/>
        <v/>
      </c>
      <c r="N76" s="43" t="str">
        <f t="shared" ca="1" si="8"/>
        <v/>
      </c>
      <c r="O76" s="43" t="str">
        <f t="shared" ca="1" si="8"/>
        <v/>
      </c>
      <c r="P76" s="43" t="str">
        <f t="shared" ca="1" si="8"/>
        <v/>
      </c>
      <c r="Q76" s="43" t="str">
        <f t="shared" ca="1" si="8"/>
        <v/>
      </c>
      <c r="R76" s="43" t="str">
        <f t="shared" ca="1" si="8"/>
        <v/>
      </c>
      <c r="S76" s="44" t="str">
        <f t="shared" ref="S76:S139" si="9">IF($C76="","",SUM(D76:R76))</f>
        <v/>
      </c>
      <c r="T76" s="43" t="str">
        <f>IF($C76="","",SUMIFS(Overview!$G$18:$G$32,Overview!$D$18:$D$32,"&lt;="&amp;$C76,Overview!$E$18:$E$32,"&gt;="&amp;$C76))</f>
        <v/>
      </c>
      <c r="U76" s="43" t="str">
        <f ca="1">IF(OR($C76="",Overview!$I$33=""),"",IF($C76&gt;Overview!$I$33,"",SUM($S$12:S76)))</f>
        <v/>
      </c>
      <c r="V76" s="43" t="str">
        <f>IF($C76="","",SUM($T$12:T76))</f>
        <v/>
      </c>
      <c r="W76" s="45" t="str">
        <f t="shared" ref="W76:W139" ca="1" si="10">IF(OR(U76="",V76="",V76=0),"",U76/V76)</f>
        <v/>
      </c>
    </row>
    <row r="77" spans="3:23" x14ac:dyDescent="0.35">
      <c r="C77" s="42" t="str">
        <f>IF(OR(Overview!$D$33="",Overview!$E$33=""),"",IF(Overview!$D$33+65&gt;Overview!$E$33,"",Overview!$D$33+65))</f>
        <v/>
      </c>
      <c r="D77" s="43" t="str">
        <f t="shared" ca="1" si="8"/>
        <v/>
      </c>
      <c r="E77" s="43" t="str">
        <f t="shared" ca="1" si="8"/>
        <v/>
      </c>
      <c r="F77" s="43" t="str">
        <f t="shared" ca="1" si="8"/>
        <v/>
      </c>
      <c r="G77" s="43" t="str">
        <f t="shared" ca="1" si="8"/>
        <v/>
      </c>
      <c r="H77" s="43" t="str">
        <f t="shared" ca="1" si="8"/>
        <v/>
      </c>
      <c r="I77" s="43" t="str">
        <f t="shared" ca="1" si="8"/>
        <v/>
      </c>
      <c r="J77" s="43" t="str">
        <f t="shared" ca="1" si="8"/>
        <v/>
      </c>
      <c r="K77" s="43" t="str">
        <f t="shared" ca="1" si="8"/>
        <v/>
      </c>
      <c r="L77" s="43" t="str">
        <f t="shared" ca="1" si="8"/>
        <v/>
      </c>
      <c r="M77" s="43" t="str">
        <f t="shared" ca="1" si="8"/>
        <v/>
      </c>
      <c r="N77" s="43" t="str">
        <f t="shared" ca="1" si="8"/>
        <v/>
      </c>
      <c r="O77" s="43" t="str">
        <f t="shared" ca="1" si="8"/>
        <v/>
      </c>
      <c r="P77" s="43" t="str">
        <f t="shared" ca="1" si="8"/>
        <v/>
      </c>
      <c r="Q77" s="43" t="str">
        <f t="shared" ca="1" si="8"/>
        <v/>
      </c>
      <c r="R77" s="43" t="str">
        <f t="shared" ca="1" si="8"/>
        <v/>
      </c>
      <c r="S77" s="44" t="str">
        <f t="shared" si="9"/>
        <v/>
      </c>
      <c r="T77" s="43" t="str">
        <f>IF($C77="","",SUMIFS(Overview!$G$18:$G$32,Overview!$D$18:$D$32,"&lt;="&amp;$C77,Overview!$E$18:$E$32,"&gt;="&amp;$C77))</f>
        <v/>
      </c>
      <c r="U77" s="43" t="str">
        <f ca="1">IF(OR($C77="",Overview!$I$33=""),"",IF($C77&gt;Overview!$I$33,"",SUM($S$12:S77)))</f>
        <v/>
      </c>
      <c r="V77" s="43" t="str">
        <f>IF($C77="","",SUM($T$12:T77))</f>
        <v/>
      </c>
      <c r="W77" s="45" t="str">
        <f t="shared" ca="1" si="10"/>
        <v/>
      </c>
    </row>
    <row r="78" spans="3:23" x14ac:dyDescent="0.35">
      <c r="C78" s="42" t="str">
        <f>IF(OR(Overview!$D$33="",Overview!$E$33=""),"",IF(Overview!$D$33+66&gt;Overview!$E$33,"",Overview!$D$33+66))</f>
        <v/>
      </c>
      <c r="D78" s="43" t="str">
        <f t="shared" ca="1" si="8"/>
        <v/>
      </c>
      <c r="E78" s="43" t="str">
        <f t="shared" ca="1" si="8"/>
        <v/>
      </c>
      <c r="F78" s="43" t="str">
        <f t="shared" ca="1" si="8"/>
        <v/>
      </c>
      <c r="G78" s="43" t="str">
        <f t="shared" ca="1" si="8"/>
        <v/>
      </c>
      <c r="H78" s="43" t="str">
        <f t="shared" ca="1" si="8"/>
        <v/>
      </c>
      <c r="I78" s="43" t="str">
        <f t="shared" ca="1" si="8"/>
        <v/>
      </c>
      <c r="J78" s="43" t="str">
        <f t="shared" ca="1" si="8"/>
        <v/>
      </c>
      <c r="K78" s="43" t="str">
        <f t="shared" ca="1" si="8"/>
        <v/>
      </c>
      <c r="L78" s="43" t="str">
        <f t="shared" ca="1" si="8"/>
        <v/>
      </c>
      <c r="M78" s="43" t="str">
        <f t="shared" ca="1" si="8"/>
        <v/>
      </c>
      <c r="N78" s="43" t="str">
        <f t="shared" ca="1" si="8"/>
        <v/>
      </c>
      <c r="O78" s="43" t="str">
        <f t="shared" ca="1" si="8"/>
        <v/>
      </c>
      <c r="P78" s="43" t="str">
        <f t="shared" ca="1" si="8"/>
        <v/>
      </c>
      <c r="Q78" s="43" t="str">
        <f t="shared" ca="1" si="8"/>
        <v/>
      </c>
      <c r="R78" s="43" t="str">
        <f t="shared" ca="1" si="8"/>
        <v/>
      </c>
      <c r="S78" s="44" t="str">
        <f t="shared" si="9"/>
        <v/>
      </c>
      <c r="T78" s="43" t="str">
        <f>IF($C78="","",SUMIFS(Overview!$G$18:$G$32,Overview!$D$18:$D$32,"&lt;="&amp;$C78,Overview!$E$18:$E$32,"&gt;="&amp;$C78))</f>
        <v/>
      </c>
      <c r="U78" s="43" t="str">
        <f ca="1">IF(OR($C78="",Overview!$I$33=""),"",IF($C78&gt;Overview!$I$33,"",SUM($S$12:S78)))</f>
        <v/>
      </c>
      <c r="V78" s="43" t="str">
        <f>IF($C78="","",SUM($T$12:T78))</f>
        <v/>
      </c>
      <c r="W78" s="45" t="str">
        <f t="shared" ca="1" si="10"/>
        <v/>
      </c>
    </row>
    <row r="79" spans="3:23" x14ac:dyDescent="0.35">
      <c r="C79" s="42" t="str">
        <f>IF(OR(Overview!$D$33="",Overview!$E$33=""),"",IF(Overview!$D$33+67&gt;Overview!$E$33,"",Overview!$D$33+67))</f>
        <v/>
      </c>
      <c r="D79" s="43" t="str">
        <f t="shared" ca="1" si="8"/>
        <v/>
      </c>
      <c r="E79" s="43" t="str">
        <f t="shared" ca="1" si="8"/>
        <v/>
      </c>
      <c r="F79" s="43" t="str">
        <f t="shared" ca="1" si="8"/>
        <v/>
      </c>
      <c r="G79" s="43" t="str">
        <f t="shared" ca="1" si="8"/>
        <v/>
      </c>
      <c r="H79" s="43" t="str">
        <f t="shared" ca="1" si="8"/>
        <v/>
      </c>
      <c r="I79" s="43" t="str">
        <f t="shared" ca="1" si="8"/>
        <v/>
      </c>
      <c r="J79" s="43" t="str">
        <f t="shared" ca="1" si="8"/>
        <v/>
      </c>
      <c r="K79" s="43" t="str">
        <f t="shared" ca="1" si="8"/>
        <v/>
      </c>
      <c r="L79" s="43" t="str">
        <f t="shared" ca="1" si="8"/>
        <v/>
      </c>
      <c r="M79" s="43" t="str">
        <f t="shared" ca="1" si="8"/>
        <v/>
      </c>
      <c r="N79" s="43" t="str">
        <f t="shared" ca="1" si="8"/>
        <v/>
      </c>
      <c r="O79" s="43" t="str">
        <f t="shared" ca="1" si="8"/>
        <v/>
      </c>
      <c r="P79" s="43" t="str">
        <f t="shared" ca="1" si="8"/>
        <v/>
      </c>
      <c r="Q79" s="43" t="str">
        <f t="shared" ca="1" si="8"/>
        <v/>
      </c>
      <c r="R79" s="43" t="str">
        <f t="shared" ca="1" si="8"/>
        <v/>
      </c>
      <c r="S79" s="44" t="str">
        <f t="shared" si="9"/>
        <v/>
      </c>
      <c r="T79" s="43" t="str">
        <f>IF($C79="","",SUMIFS(Overview!$G$18:$G$32,Overview!$D$18:$D$32,"&lt;="&amp;$C79,Overview!$E$18:$E$32,"&gt;="&amp;$C79))</f>
        <v/>
      </c>
      <c r="U79" s="43" t="str">
        <f ca="1">IF(OR($C79="",Overview!$I$33=""),"",IF($C79&gt;Overview!$I$33,"",SUM($S$12:S79)))</f>
        <v/>
      </c>
      <c r="V79" s="43" t="str">
        <f>IF($C79="","",SUM($T$12:T79))</f>
        <v/>
      </c>
      <c r="W79" s="45" t="str">
        <f t="shared" ca="1" si="10"/>
        <v/>
      </c>
    </row>
    <row r="80" spans="3:23" x14ac:dyDescent="0.35">
      <c r="C80" s="42" t="str">
        <f>IF(OR(Overview!$D$33="",Overview!$E$33=""),"",IF(Overview!$D$33+68&gt;Overview!$E$33,"",Overview!$D$33+68))</f>
        <v/>
      </c>
      <c r="D80" s="43" t="str">
        <f t="shared" ca="1" si="8"/>
        <v/>
      </c>
      <c r="E80" s="43" t="str">
        <f t="shared" ca="1" si="8"/>
        <v/>
      </c>
      <c r="F80" s="43" t="str">
        <f t="shared" ca="1" si="8"/>
        <v/>
      </c>
      <c r="G80" s="43" t="str">
        <f t="shared" ca="1" si="8"/>
        <v/>
      </c>
      <c r="H80" s="43" t="str">
        <f t="shared" ca="1" si="8"/>
        <v/>
      </c>
      <c r="I80" s="43" t="str">
        <f t="shared" ca="1" si="8"/>
        <v/>
      </c>
      <c r="J80" s="43" t="str">
        <f t="shared" ca="1" si="8"/>
        <v/>
      </c>
      <c r="K80" s="43" t="str">
        <f t="shared" ca="1" si="8"/>
        <v/>
      </c>
      <c r="L80" s="43" t="str">
        <f t="shared" ca="1" si="8"/>
        <v/>
      </c>
      <c r="M80" s="43" t="str">
        <f t="shared" ca="1" si="8"/>
        <v/>
      </c>
      <c r="N80" s="43" t="str">
        <f t="shared" ca="1" si="8"/>
        <v/>
      </c>
      <c r="O80" s="43" t="str">
        <f t="shared" ca="1" si="8"/>
        <v/>
      </c>
      <c r="P80" s="43" t="str">
        <f t="shared" ca="1" si="8"/>
        <v/>
      </c>
      <c r="Q80" s="43" t="str">
        <f t="shared" ca="1" si="8"/>
        <v/>
      </c>
      <c r="R80" s="43" t="str">
        <f t="shared" ca="1" si="8"/>
        <v/>
      </c>
      <c r="S80" s="44" t="str">
        <f t="shared" si="9"/>
        <v/>
      </c>
      <c r="T80" s="43" t="str">
        <f>IF($C80="","",SUMIFS(Overview!$G$18:$G$32,Overview!$D$18:$D$32,"&lt;="&amp;$C80,Overview!$E$18:$E$32,"&gt;="&amp;$C80))</f>
        <v/>
      </c>
      <c r="U80" s="43" t="str">
        <f ca="1">IF(OR($C80="",Overview!$I$33=""),"",IF($C80&gt;Overview!$I$33,"",SUM($S$12:S80)))</f>
        <v/>
      </c>
      <c r="V80" s="43" t="str">
        <f>IF($C80="","",SUM($T$12:T80))</f>
        <v/>
      </c>
      <c r="W80" s="45" t="str">
        <f t="shared" ca="1" si="10"/>
        <v/>
      </c>
    </row>
    <row r="81" spans="3:23" x14ac:dyDescent="0.35">
      <c r="C81" s="42" t="str">
        <f>IF(OR(Overview!$D$33="",Overview!$E$33=""),"",IF(Overview!$D$33+69&gt;Overview!$E$33,"",Overview!$D$33+69))</f>
        <v/>
      </c>
      <c r="D81" s="43" t="str">
        <f t="shared" ca="1" si="8"/>
        <v/>
      </c>
      <c r="E81" s="43" t="str">
        <f t="shared" ca="1" si="8"/>
        <v/>
      </c>
      <c r="F81" s="43" t="str">
        <f t="shared" ca="1" si="8"/>
        <v/>
      </c>
      <c r="G81" s="43" t="str">
        <f t="shared" ca="1" si="8"/>
        <v/>
      </c>
      <c r="H81" s="43" t="str">
        <f t="shared" ca="1" si="8"/>
        <v/>
      </c>
      <c r="I81" s="43" t="str">
        <f t="shared" ca="1" si="8"/>
        <v/>
      </c>
      <c r="J81" s="43" t="str">
        <f t="shared" ca="1" si="8"/>
        <v/>
      </c>
      <c r="K81" s="43" t="str">
        <f t="shared" ca="1" si="8"/>
        <v/>
      </c>
      <c r="L81" s="43" t="str">
        <f t="shared" ca="1" si="8"/>
        <v/>
      </c>
      <c r="M81" s="43" t="str">
        <f t="shared" ca="1" si="8"/>
        <v/>
      </c>
      <c r="N81" s="43" t="str">
        <f t="shared" ca="1" si="8"/>
        <v/>
      </c>
      <c r="O81" s="43" t="str">
        <f t="shared" ca="1" si="8"/>
        <v/>
      </c>
      <c r="P81" s="43" t="str">
        <f t="shared" ca="1" si="8"/>
        <v/>
      </c>
      <c r="Q81" s="43" t="str">
        <f t="shared" ca="1" si="8"/>
        <v/>
      </c>
      <c r="R81" s="43" t="str">
        <f t="shared" ca="1" si="8"/>
        <v/>
      </c>
      <c r="S81" s="44" t="str">
        <f t="shared" si="9"/>
        <v/>
      </c>
      <c r="T81" s="43" t="str">
        <f>IF($C81="","",SUMIFS(Overview!$G$18:$G$32,Overview!$D$18:$D$32,"&lt;="&amp;$C81,Overview!$E$18:$E$32,"&gt;="&amp;$C81))</f>
        <v/>
      </c>
      <c r="U81" s="43" t="str">
        <f ca="1">IF(OR($C81="",Overview!$I$33=""),"",IF($C81&gt;Overview!$I$33,"",SUM($S$12:S81)))</f>
        <v/>
      </c>
      <c r="V81" s="43" t="str">
        <f>IF($C81="","",SUM($T$12:T81))</f>
        <v/>
      </c>
      <c r="W81" s="45" t="str">
        <f t="shared" ca="1" si="10"/>
        <v/>
      </c>
    </row>
    <row r="82" spans="3:23" x14ac:dyDescent="0.35">
      <c r="C82" s="42" t="str">
        <f>IF(OR(Overview!$D$33="",Overview!$E$33=""),"",IF(Overview!$D$33+70&gt;Overview!$E$33,"",Overview!$D$33+70))</f>
        <v/>
      </c>
      <c r="D82" s="43" t="str">
        <f t="shared" ref="D82:R91" ca="1" si="11">IF(OR($C82="",D$11=""),"",IFERROR(SUMIFS(INDIRECT("'"&amp;D$11&amp;"'!$F$14:$F$10013"),INDIRECT("'"&amp;D$11&amp;"'!$C$14:$C$10013"),$C82),""))</f>
        <v/>
      </c>
      <c r="E82" s="43" t="str">
        <f t="shared" ca="1" si="11"/>
        <v/>
      </c>
      <c r="F82" s="43" t="str">
        <f t="shared" ca="1" si="11"/>
        <v/>
      </c>
      <c r="G82" s="43" t="str">
        <f t="shared" ca="1" si="11"/>
        <v/>
      </c>
      <c r="H82" s="43" t="str">
        <f t="shared" ca="1" si="11"/>
        <v/>
      </c>
      <c r="I82" s="43" t="str">
        <f t="shared" ca="1" si="11"/>
        <v/>
      </c>
      <c r="J82" s="43" t="str">
        <f t="shared" ca="1" si="11"/>
        <v/>
      </c>
      <c r="K82" s="43" t="str">
        <f t="shared" ca="1" si="11"/>
        <v/>
      </c>
      <c r="L82" s="43" t="str">
        <f t="shared" ca="1" si="11"/>
        <v/>
      </c>
      <c r="M82" s="43" t="str">
        <f t="shared" ca="1" si="11"/>
        <v/>
      </c>
      <c r="N82" s="43" t="str">
        <f t="shared" ca="1" si="11"/>
        <v/>
      </c>
      <c r="O82" s="43" t="str">
        <f t="shared" ca="1" si="11"/>
        <v/>
      </c>
      <c r="P82" s="43" t="str">
        <f t="shared" ca="1" si="11"/>
        <v/>
      </c>
      <c r="Q82" s="43" t="str">
        <f t="shared" ca="1" si="11"/>
        <v/>
      </c>
      <c r="R82" s="43" t="str">
        <f t="shared" ca="1" si="11"/>
        <v/>
      </c>
      <c r="S82" s="44" t="str">
        <f t="shared" si="9"/>
        <v/>
      </c>
      <c r="T82" s="43" t="str">
        <f>IF($C82="","",SUMIFS(Overview!$G$18:$G$32,Overview!$D$18:$D$32,"&lt;="&amp;$C82,Overview!$E$18:$E$32,"&gt;="&amp;$C82))</f>
        <v/>
      </c>
      <c r="U82" s="43" t="str">
        <f ca="1">IF(OR($C82="",Overview!$I$33=""),"",IF($C82&gt;Overview!$I$33,"",SUM($S$12:S82)))</f>
        <v/>
      </c>
      <c r="V82" s="43" t="str">
        <f>IF($C82="","",SUM($T$12:T82))</f>
        <v/>
      </c>
      <c r="W82" s="45" t="str">
        <f t="shared" ca="1" si="10"/>
        <v/>
      </c>
    </row>
    <row r="83" spans="3:23" x14ac:dyDescent="0.35">
      <c r="C83" s="42" t="str">
        <f>IF(OR(Overview!$D$33="",Overview!$E$33=""),"",IF(Overview!$D$33+71&gt;Overview!$E$33,"",Overview!$D$33+71))</f>
        <v/>
      </c>
      <c r="D83" s="43" t="str">
        <f t="shared" ca="1" si="11"/>
        <v/>
      </c>
      <c r="E83" s="43" t="str">
        <f t="shared" ca="1" si="11"/>
        <v/>
      </c>
      <c r="F83" s="43" t="str">
        <f t="shared" ca="1" si="11"/>
        <v/>
      </c>
      <c r="G83" s="43" t="str">
        <f t="shared" ca="1" si="11"/>
        <v/>
      </c>
      <c r="H83" s="43" t="str">
        <f t="shared" ca="1" si="11"/>
        <v/>
      </c>
      <c r="I83" s="43" t="str">
        <f t="shared" ca="1" si="11"/>
        <v/>
      </c>
      <c r="J83" s="43" t="str">
        <f t="shared" ca="1" si="11"/>
        <v/>
      </c>
      <c r="K83" s="43" t="str">
        <f t="shared" ca="1" si="11"/>
        <v/>
      </c>
      <c r="L83" s="43" t="str">
        <f t="shared" ca="1" si="11"/>
        <v/>
      </c>
      <c r="M83" s="43" t="str">
        <f t="shared" ca="1" si="11"/>
        <v/>
      </c>
      <c r="N83" s="43" t="str">
        <f t="shared" ca="1" si="11"/>
        <v/>
      </c>
      <c r="O83" s="43" t="str">
        <f t="shared" ca="1" si="11"/>
        <v/>
      </c>
      <c r="P83" s="43" t="str">
        <f t="shared" ca="1" si="11"/>
        <v/>
      </c>
      <c r="Q83" s="43" t="str">
        <f t="shared" ca="1" si="11"/>
        <v/>
      </c>
      <c r="R83" s="43" t="str">
        <f t="shared" ca="1" si="11"/>
        <v/>
      </c>
      <c r="S83" s="44" t="str">
        <f t="shared" si="9"/>
        <v/>
      </c>
      <c r="T83" s="43" t="str">
        <f>IF($C83="","",SUMIFS(Overview!$G$18:$G$32,Overview!$D$18:$D$32,"&lt;="&amp;$C83,Overview!$E$18:$E$32,"&gt;="&amp;$C83))</f>
        <v/>
      </c>
      <c r="U83" s="43" t="str">
        <f ca="1">IF(OR($C83="",Overview!$I$33=""),"",IF($C83&gt;Overview!$I$33,"",SUM($S$12:S83)))</f>
        <v/>
      </c>
      <c r="V83" s="43" t="str">
        <f>IF($C83="","",SUM($T$12:T83))</f>
        <v/>
      </c>
      <c r="W83" s="45" t="str">
        <f t="shared" ca="1" si="10"/>
        <v/>
      </c>
    </row>
    <row r="84" spans="3:23" x14ac:dyDescent="0.35">
      <c r="C84" s="42" t="str">
        <f>IF(OR(Overview!$D$33="",Overview!$E$33=""),"",IF(Overview!$D$33+72&gt;Overview!$E$33,"",Overview!$D$33+72))</f>
        <v/>
      </c>
      <c r="D84" s="43" t="str">
        <f t="shared" ca="1" si="11"/>
        <v/>
      </c>
      <c r="E84" s="43" t="str">
        <f t="shared" ca="1" si="11"/>
        <v/>
      </c>
      <c r="F84" s="43" t="str">
        <f t="shared" ca="1" si="11"/>
        <v/>
      </c>
      <c r="G84" s="43" t="str">
        <f t="shared" ca="1" si="11"/>
        <v/>
      </c>
      <c r="H84" s="43" t="str">
        <f t="shared" ca="1" si="11"/>
        <v/>
      </c>
      <c r="I84" s="43" t="str">
        <f t="shared" ca="1" si="11"/>
        <v/>
      </c>
      <c r="J84" s="43" t="str">
        <f t="shared" ca="1" si="11"/>
        <v/>
      </c>
      <c r="K84" s="43" t="str">
        <f t="shared" ca="1" si="11"/>
        <v/>
      </c>
      <c r="L84" s="43" t="str">
        <f t="shared" ca="1" si="11"/>
        <v/>
      </c>
      <c r="M84" s="43" t="str">
        <f t="shared" ca="1" si="11"/>
        <v/>
      </c>
      <c r="N84" s="43" t="str">
        <f t="shared" ca="1" si="11"/>
        <v/>
      </c>
      <c r="O84" s="43" t="str">
        <f t="shared" ca="1" si="11"/>
        <v/>
      </c>
      <c r="P84" s="43" t="str">
        <f t="shared" ca="1" si="11"/>
        <v/>
      </c>
      <c r="Q84" s="43" t="str">
        <f t="shared" ca="1" si="11"/>
        <v/>
      </c>
      <c r="R84" s="43" t="str">
        <f t="shared" ca="1" si="11"/>
        <v/>
      </c>
      <c r="S84" s="44" t="str">
        <f t="shared" si="9"/>
        <v/>
      </c>
      <c r="T84" s="43" t="str">
        <f>IF($C84="","",SUMIFS(Overview!$G$18:$G$32,Overview!$D$18:$D$32,"&lt;="&amp;$C84,Overview!$E$18:$E$32,"&gt;="&amp;$C84))</f>
        <v/>
      </c>
      <c r="U84" s="43" t="str">
        <f ca="1">IF(OR($C84="",Overview!$I$33=""),"",IF($C84&gt;Overview!$I$33,"",SUM($S$12:S84)))</f>
        <v/>
      </c>
      <c r="V84" s="43" t="str">
        <f>IF($C84="","",SUM($T$12:T84))</f>
        <v/>
      </c>
      <c r="W84" s="45" t="str">
        <f t="shared" ca="1" si="10"/>
        <v/>
      </c>
    </row>
    <row r="85" spans="3:23" x14ac:dyDescent="0.35">
      <c r="C85" s="42" t="str">
        <f>IF(OR(Overview!$D$33="",Overview!$E$33=""),"",IF(Overview!$D$33+73&gt;Overview!$E$33,"",Overview!$D$33+73))</f>
        <v/>
      </c>
      <c r="D85" s="43" t="str">
        <f t="shared" ca="1" si="11"/>
        <v/>
      </c>
      <c r="E85" s="43" t="str">
        <f t="shared" ca="1" si="11"/>
        <v/>
      </c>
      <c r="F85" s="43" t="str">
        <f t="shared" ca="1" si="11"/>
        <v/>
      </c>
      <c r="G85" s="43" t="str">
        <f t="shared" ca="1" si="11"/>
        <v/>
      </c>
      <c r="H85" s="43" t="str">
        <f t="shared" ca="1" si="11"/>
        <v/>
      </c>
      <c r="I85" s="43" t="str">
        <f t="shared" ca="1" si="11"/>
        <v/>
      </c>
      <c r="J85" s="43" t="str">
        <f t="shared" ca="1" si="11"/>
        <v/>
      </c>
      <c r="K85" s="43" t="str">
        <f t="shared" ca="1" si="11"/>
        <v/>
      </c>
      <c r="L85" s="43" t="str">
        <f t="shared" ca="1" si="11"/>
        <v/>
      </c>
      <c r="M85" s="43" t="str">
        <f t="shared" ca="1" si="11"/>
        <v/>
      </c>
      <c r="N85" s="43" t="str">
        <f t="shared" ca="1" si="11"/>
        <v/>
      </c>
      <c r="O85" s="43" t="str">
        <f t="shared" ca="1" si="11"/>
        <v/>
      </c>
      <c r="P85" s="43" t="str">
        <f t="shared" ca="1" si="11"/>
        <v/>
      </c>
      <c r="Q85" s="43" t="str">
        <f t="shared" ca="1" si="11"/>
        <v/>
      </c>
      <c r="R85" s="43" t="str">
        <f t="shared" ca="1" si="11"/>
        <v/>
      </c>
      <c r="S85" s="44" t="str">
        <f t="shared" si="9"/>
        <v/>
      </c>
      <c r="T85" s="43" t="str">
        <f>IF($C85="","",SUMIFS(Overview!$G$18:$G$32,Overview!$D$18:$D$32,"&lt;="&amp;$C85,Overview!$E$18:$E$32,"&gt;="&amp;$C85))</f>
        <v/>
      </c>
      <c r="U85" s="43" t="str">
        <f ca="1">IF(OR($C85="",Overview!$I$33=""),"",IF($C85&gt;Overview!$I$33,"",SUM($S$12:S85)))</f>
        <v/>
      </c>
      <c r="V85" s="43" t="str">
        <f>IF($C85="","",SUM($T$12:T85))</f>
        <v/>
      </c>
      <c r="W85" s="45" t="str">
        <f t="shared" ca="1" si="10"/>
        <v/>
      </c>
    </row>
    <row r="86" spans="3:23" x14ac:dyDescent="0.35">
      <c r="C86" s="42" t="str">
        <f>IF(OR(Overview!$D$33="",Overview!$E$33=""),"",IF(Overview!$D$33+74&gt;Overview!$E$33,"",Overview!$D$33+74))</f>
        <v/>
      </c>
      <c r="D86" s="43" t="str">
        <f t="shared" ca="1" si="11"/>
        <v/>
      </c>
      <c r="E86" s="43" t="str">
        <f t="shared" ca="1" si="11"/>
        <v/>
      </c>
      <c r="F86" s="43" t="str">
        <f t="shared" ca="1" si="11"/>
        <v/>
      </c>
      <c r="G86" s="43" t="str">
        <f t="shared" ca="1" si="11"/>
        <v/>
      </c>
      <c r="H86" s="43" t="str">
        <f t="shared" ca="1" si="11"/>
        <v/>
      </c>
      <c r="I86" s="43" t="str">
        <f t="shared" ca="1" si="11"/>
        <v/>
      </c>
      <c r="J86" s="43" t="str">
        <f t="shared" ca="1" si="11"/>
        <v/>
      </c>
      <c r="K86" s="43" t="str">
        <f t="shared" ca="1" si="11"/>
        <v/>
      </c>
      <c r="L86" s="43" t="str">
        <f t="shared" ca="1" si="11"/>
        <v/>
      </c>
      <c r="M86" s="43" t="str">
        <f t="shared" ca="1" si="11"/>
        <v/>
      </c>
      <c r="N86" s="43" t="str">
        <f t="shared" ca="1" si="11"/>
        <v/>
      </c>
      <c r="O86" s="43" t="str">
        <f t="shared" ca="1" si="11"/>
        <v/>
      </c>
      <c r="P86" s="43" t="str">
        <f t="shared" ca="1" si="11"/>
        <v/>
      </c>
      <c r="Q86" s="43" t="str">
        <f t="shared" ca="1" si="11"/>
        <v/>
      </c>
      <c r="R86" s="43" t="str">
        <f t="shared" ca="1" si="11"/>
        <v/>
      </c>
      <c r="S86" s="44" t="str">
        <f t="shared" si="9"/>
        <v/>
      </c>
      <c r="T86" s="43" t="str">
        <f>IF($C86="","",SUMIFS(Overview!$G$18:$G$32,Overview!$D$18:$D$32,"&lt;="&amp;$C86,Overview!$E$18:$E$32,"&gt;="&amp;$C86))</f>
        <v/>
      </c>
      <c r="U86" s="43" t="str">
        <f ca="1">IF(OR($C86="",Overview!$I$33=""),"",IF($C86&gt;Overview!$I$33,"",SUM($S$12:S86)))</f>
        <v/>
      </c>
      <c r="V86" s="43" t="str">
        <f>IF($C86="","",SUM($T$12:T86))</f>
        <v/>
      </c>
      <c r="W86" s="45" t="str">
        <f t="shared" ca="1" si="10"/>
        <v/>
      </c>
    </row>
    <row r="87" spans="3:23" x14ac:dyDescent="0.35">
      <c r="C87" s="42" t="str">
        <f>IF(OR(Overview!$D$33="",Overview!$E$33=""),"",IF(Overview!$D$33+75&gt;Overview!$E$33,"",Overview!$D$33+75))</f>
        <v/>
      </c>
      <c r="D87" s="43" t="str">
        <f t="shared" ca="1" si="11"/>
        <v/>
      </c>
      <c r="E87" s="43" t="str">
        <f t="shared" ca="1" si="11"/>
        <v/>
      </c>
      <c r="F87" s="43" t="str">
        <f t="shared" ca="1" si="11"/>
        <v/>
      </c>
      <c r="G87" s="43" t="str">
        <f t="shared" ca="1" si="11"/>
        <v/>
      </c>
      <c r="H87" s="43" t="str">
        <f t="shared" ca="1" si="11"/>
        <v/>
      </c>
      <c r="I87" s="43" t="str">
        <f t="shared" ca="1" si="11"/>
        <v/>
      </c>
      <c r="J87" s="43" t="str">
        <f t="shared" ca="1" si="11"/>
        <v/>
      </c>
      <c r="K87" s="43" t="str">
        <f t="shared" ca="1" si="11"/>
        <v/>
      </c>
      <c r="L87" s="43" t="str">
        <f t="shared" ca="1" si="11"/>
        <v/>
      </c>
      <c r="M87" s="43" t="str">
        <f t="shared" ca="1" si="11"/>
        <v/>
      </c>
      <c r="N87" s="43" t="str">
        <f t="shared" ca="1" si="11"/>
        <v/>
      </c>
      <c r="O87" s="43" t="str">
        <f t="shared" ca="1" si="11"/>
        <v/>
      </c>
      <c r="P87" s="43" t="str">
        <f t="shared" ca="1" si="11"/>
        <v/>
      </c>
      <c r="Q87" s="43" t="str">
        <f t="shared" ca="1" si="11"/>
        <v/>
      </c>
      <c r="R87" s="43" t="str">
        <f t="shared" ca="1" si="11"/>
        <v/>
      </c>
      <c r="S87" s="44" t="str">
        <f t="shared" si="9"/>
        <v/>
      </c>
      <c r="T87" s="43" t="str">
        <f>IF($C87="","",SUMIFS(Overview!$G$18:$G$32,Overview!$D$18:$D$32,"&lt;="&amp;$C87,Overview!$E$18:$E$32,"&gt;="&amp;$C87))</f>
        <v/>
      </c>
      <c r="U87" s="43" t="str">
        <f ca="1">IF(OR($C87="",Overview!$I$33=""),"",IF($C87&gt;Overview!$I$33,"",SUM($S$12:S87)))</f>
        <v/>
      </c>
      <c r="V87" s="43" t="str">
        <f>IF($C87="","",SUM($T$12:T87))</f>
        <v/>
      </c>
      <c r="W87" s="45" t="str">
        <f t="shared" ca="1" si="10"/>
        <v/>
      </c>
    </row>
    <row r="88" spans="3:23" x14ac:dyDescent="0.35">
      <c r="C88" s="42" t="str">
        <f>IF(OR(Overview!$D$33="",Overview!$E$33=""),"",IF(Overview!$D$33+76&gt;Overview!$E$33,"",Overview!$D$33+76))</f>
        <v/>
      </c>
      <c r="D88" s="43" t="str">
        <f t="shared" ca="1" si="11"/>
        <v/>
      </c>
      <c r="E88" s="43" t="str">
        <f t="shared" ca="1" si="11"/>
        <v/>
      </c>
      <c r="F88" s="43" t="str">
        <f t="shared" ca="1" si="11"/>
        <v/>
      </c>
      <c r="G88" s="43" t="str">
        <f t="shared" ca="1" si="11"/>
        <v/>
      </c>
      <c r="H88" s="43" t="str">
        <f t="shared" ca="1" si="11"/>
        <v/>
      </c>
      <c r="I88" s="43" t="str">
        <f t="shared" ca="1" si="11"/>
        <v/>
      </c>
      <c r="J88" s="43" t="str">
        <f t="shared" ca="1" si="11"/>
        <v/>
      </c>
      <c r="K88" s="43" t="str">
        <f t="shared" ca="1" si="11"/>
        <v/>
      </c>
      <c r="L88" s="43" t="str">
        <f t="shared" ca="1" si="11"/>
        <v/>
      </c>
      <c r="M88" s="43" t="str">
        <f t="shared" ca="1" si="11"/>
        <v/>
      </c>
      <c r="N88" s="43" t="str">
        <f t="shared" ca="1" si="11"/>
        <v/>
      </c>
      <c r="O88" s="43" t="str">
        <f t="shared" ca="1" si="11"/>
        <v/>
      </c>
      <c r="P88" s="43" t="str">
        <f t="shared" ca="1" si="11"/>
        <v/>
      </c>
      <c r="Q88" s="43" t="str">
        <f t="shared" ca="1" si="11"/>
        <v/>
      </c>
      <c r="R88" s="43" t="str">
        <f t="shared" ca="1" si="11"/>
        <v/>
      </c>
      <c r="S88" s="44" t="str">
        <f t="shared" si="9"/>
        <v/>
      </c>
      <c r="T88" s="43" t="str">
        <f>IF($C88="","",SUMIFS(Overview!$G$18:$G$32,Overview!$D$18:$D$32,"&lt;="&amp;$C88,Overview!$E$18:$E$32,"&gt;="&amp;$C88))</f>
        <v/>
      </c>
      <c r="U88" s="43" t="str">
        <f ca="1">IF(OR($C88="",Overview!$I$33=""),"",IF($C88&gt;Overview!$I$33,"",SUM($S$12:S88)))</f>
        <v/>
      </c>
      <c r="V88" s="43" t="str">
        <f>IF($C88="","",SUM($T$12:T88))</f>
        <v/>
      </c>
      <c r="W88" s="45" t="str">
        <f t="shared" ca="1" si="10"/>
        <v/>
      </c>
    </row>
    <row r="89" spans="3:23" x14ac:dyDescent="0.35">
      <c r="C89" s="42" t="str">
        <f>IF(OR(Overview!$D$33="",Overview!$E$33=""),"",IF(Overview!$D$33+77&gt;Overview!$E$33,"",Overview!$D$33+77))</f>
        <v/>
      </c>
      <c r="D89" s="43" t="str">
        <f t="shared" ca="1" si="11"/>
        <v/>
      </c>
      <c r="E89" s="43" t="str">
        <f t="shared" ca="1" si="11"/>
        <v/>
      </c>
      <c r="F89" s="43" t="str">
        <f t="shared" ca="1" si="11"/>
        <v/>
      </c>
      <c r="G89" s="43" t="str">
        <f t="shared" ca="1" si="11"/>
        <v/>
      </c>
      <c r="H89" s="43" t="str">
        <f t="shared" ca="1" si="11"/>
        <v/>
      </c>
      <c r="I89" s="43" t="str">
        <f t="shared" ca="1" si="11"/>
        <v/>
      </c>
      <c r="J89" s="43" t="str">
        <f t="shared" ca="1" si="11"/>
        <v/>
      </c>
      <c r="K89" s="43" t="str">
        <f t="shared" ca="1" si="11"/>
        <v/>
      </c>
      <c r="L89" s="43" t="str">
        <f t="shared" ca="1" si="11"/>
        <v/>
      </c>
      <c r="M89" s="43" t="str">
        <f t="shared" ca="1" si="11"/>
        <v/>
      </c>
      <c r="N89" s="43" t="str">
        <f t="shared" ca="1" si="11"/>
        <v/>
      </c>
      <c r="O89" s="43" t="str">
        <f t="shared" ca="1" si="11"/>
        <v/>
      </c>
      <c r="P89" s="43" t="str">
        <f t="shared" ca="1" si="11"/>
        <v/>
      </c>
      <c r="Q89" s="43" t="str">
        <f t="shared" ca="1" si="11"/>
        <v/>
      </c>
      <c r="R89" s="43" t="str">
        <f t="shared" ca="1" si="11"/>
        <v/>
      </c>
      <c r="S89" s="44" t="str">
        <f t="shared" si="9"/>
        <v/>
      </c>
      <c r="T89" s="43" t="str">
        <f>IF($C89="","",SUMIFS(Overview!$G$18:$G$32,Overview!$D$18:$D$32,"&lt;="&amp;$C89,Overview!$E$18:$E$32,"&gt;="&amp;$C89))</f>
        <v/>
      </c>
      <c r="U89" s="43" t="str">
        <f ca="1">IF(OR($C89="",Overview!$I$33=""),"",IF($C89&gt;Overview!$I$33,"",SUM($S$12:S89)))</f>
        <v/>
      </c>
      <c r="V89" s="43" t="str">
        <f>IF($C89="","",SUM($T$12:T89))</f>
        <v/>
      </c>
      <c r="W89" s="45" t="str">
        <f t="shared" ca="1" si="10"/>
        <v/>
      </c>
    </row>
    <row r="90" spans="3:23" x14ac:dyDescent="0.35">
      <c r="C90" s="42" t="str">
        <f>IF(OR(Overview!$D$33="",Overview!$E$33=""),"",IF(Overview!$D$33+78&gt;Overview!$E$33,"",Overview!$D$33+78))</f>
        <v/>
      </c>
      <c r="D90" s="43" t="str">
        <f t="shared" ca="1" si="11"/>
        <v/>
      </c>
      <c r="E90" s="43" t="str">
        <f t="shared" ca="1" si="11"/>
        <v/>
      </c>
      <c r="F90" s="43" t="str">
        <f t="shared" ca="1" si="11"/>
        <v/>
      </c>
      <c r="G90" s="43" t="str">
        <f t="shared" ca="1" si="11"/>
        <v/>
      </c>
      <c r="H90" s="43" t="str">
        <f t="shared" ca="1" si="11"/>
        <v/>
      </c>
      <c r="I90" s="43" t="str">
        <f t="shared" ca="1" si="11"/>
        <v/>
      </c>
      <c r="J90" s="43" t="str">
        <f t="shared" ca="1" si="11"/>
        <v/>
      </c>
      <c r="K90" s="43" t="str">
        <f t="shared" ca="1" si="11"/>
        <v/>
      </c>
      <c r="L90" s="43" t="str">
        <f t="shared" ca="1" si="11"/>
        <v/>
      </c>
      <c r="M90" s="43" t="str">
        <f t="shared" ca="1" si="11"/>
        <v/>
      </c>
      <c r="N90" s="43" t="str">
        <f t="shared" ca="1" si="11"/>
        <v/>
      </c>
      <c r="O90" s="43" t="str">
        <f t="shared" ca="1" si="11"/>
        <v/>
      </c>
      <c r="P90" s="43" t="str">
        <f t="shared" ca="1" si="11"/>
        <v/>
      </c>
      <c r="Q90" s="43" t="str">
        <f t="shared" ca="1" si="11"/>
        <v/>
      </c>
      <c r="R90" s="43" t="str">
        <f t="shared" ca="1" si="11"/>
        <v/>
      </c>
      <c r="S90" s="44" t="str">
        <f t="shared" si="9"/>
        <v/>
      </c>
      <c r="T90" s="43" t="str">
        <f>IF($C90="","",SUMIFS(Overview!$G$18:$G$32,Overview!$D$18:$D$32,"&lt;="&amp;$C90,Overview!$E$18:$E$32,"&gt;="&amp;$C90))</f>
        <v/>
      </c>
      <c r="U90" s="43" t="str">
        <f ca="1">IF(OR($C90="",Overview!$I$33=""),"",IF($C90&gt;Overview!$I$33,"",SUM($S$12:S90)))</f>
        <v/>
      </c>
      <c r="V90" s="43" t="str">
        <f>IF($C90="","",SUM($T$12:T90))</f>
        <v/>
      </c>
      <c r="W90" s="45" t="str">
        <f t="shared" ca="1" si="10"/>
        <v/>
      </c>
    </row>
    <row r="91" spans="3:23" x14ac:dyDescent="0.35">
      <c r="C91" s="42" t="str">
        <f>IF(OR(Overview!$D$33="",Overview!$E$33=""),"",IF(Overview!$D$33+79&gt;Overview!$E$33,"",Overview!$D$33+79))</f>
        <v/>
      </c>
      <c r="D91" s="43" t="str">
        <f t="shared" ca="1" si="11"/>
        <v/>
      </c>
      <c r="E91" s="43" t="str">
        <f t="shared" ca="1" si="11"/>
        <v/>
      </c>
      <c r="F91" s="43" t="str">
        <f t="shared" ca="1" si="11"/>
        <v/>
      </c>
      <c r="G91" s="43" t="str">
        <f t="shared" ca="1" si="11"/>
        <v/>
      </c>
      <c r="H91" s="43" t="str">
        <f t="shared" ca="1" si="11"/>
        <v/>
      </c>
      <c r="I91" s="43" t="str">
        <f t="shared" ca="1" si="11"/>
        <v/>
      </c>
      <c r="J91" s="43" t="str">
        <f t="shared" ca="1" si="11"/>
        <v/>
      </c>
      <c r="K91" s="43" t="str">
        <f t="shared" ca="1" si="11"/>
        <v/>
      </c>
      <c r="L91" s="43" t="str">
        <f t="shared" ca="1" si="11"/>
        <v/>
      </c>
      <c r="M91" s="43" t="str">
        <f t="shared" ca="1" si="11"/>
        <v/>
      </c>
      <c r="N91" s="43" t="str">
        <f t="shared" ca="1" si="11"/>
        <v/>
      </c>
      <c r="O91" s="43" t="str">
        <f t="shared" ca="1" si="11"/>
        <v/>
      </c>
      <c r="P91" s="43" t="str">
        <f t="shared" ca="1" si="11"/>
        <v/>
      </c>
      <c r="Q91" s="43" t="str">
        <f t="shared" ca="1" si="11"/>
        <v/>
      </c>
      <c r="R91" s="43" t="str">
        <f t="shared" ca="1" si="11"/>
        <v/>
      </c>
      <c r="S91" s="44" t="str">
        <f t="shared" si="9"/>
        <v/>
      </c>
      <c r="T91" s="43" t="str">
        <f>IF($C91="","",SUMIFS(Overview!$G$18:$G$32,Overview!$D$18:$D$32,"&lt;="&amp;$C91,Overview!$E$18:$E$32,"&gt;="&amp;$C91))</f>
        <v/>
      </c>
      <c r="U91" s="43" t="str">
        <f ca="1">IF(OR($C91="",Overview!$I$33=""),"",IF($C91&gt;Overview!$I$33,"",SUM($S$12:S91)))</f>
        <v/>
      </c>
      <c r="V91" s="43" t="str">
        <f>IF($C91="","",SUM($T$12:T91))</f>
        <v/>
      </c>
      <c r="W91" s="45" t="str">
        <f t="shared" ca="1" si="10"/>
        <v/>
      </c>
    </row>
    <row r="92" spans="3:23" x14ac:dyDescent="0.35">
      <c r="C92" s="42" t="str">
        <f>IF(OR(Overview!$D$33="",Overview!$E$33=""),"",IF(Overview!$D$33+80&gt;Overview!$E$33,"",Overview!$D$33+80))</f>
        <v/>
      </c>
      <c r="D92" s="43" t="str">
        <f t="shared" ref="D92:R101" ca="1" si="12">IF(OR($C92="",D$11=""),"",IFERROR(SUMIFS(INDIRECT("'"&amp;D$11&amp;"'!$F$14:$F$10013"),INDIRECT("'"&amp;D$11&amp;"'!$C$14:$C$10013"),$C92),""))</f>
        <v/>
      </c>
      <c r="E92" s="43" t="str">
        <f t="shared" ca="1" si="12"/>
        <v/>
      </c>
      <c r="F92" s="43" t="str">
        <f t="shared" ca="1" si="12"/>
        <v/>
      </c>
      <c r="G92" s="43" t="str">
        <f t="shared" ca="1" si="12"/>
        <v/>
      </c>
      <c r="H92" s="43" t="str">
        <f t="shared" ca="1" si="12"/>
        <v/>
      </c>
      <c r="I92" s="43" t="str">
        <f t="shared" ca="1" si="12"/>
        <v/>
      </c>
      <c r="J92" s="43" t="str">
        <f t="shared" ca="1" si="12"/>
        <v/>
      </c>
      <c r="K92" s="43" t="str">
        <f t="shared" ca="1" si="12"/>
        <v/>
      </c>
      <c r="L92" s="43" t="str">
        <f t="shared" ca="1" si="12"/>
        <v/>
      </c>
      <c r="M92" s="43" t="str">
        <f t="shared" ca="1" si="12"/>
        <v/>
      </c>
      <c r="N92" s="43" t="str">
        <f t="shared" ca="1" si="12"/>
        <v/>
      </c>
      <c r="O92" s="43" t="str">
        <f t="shared" ca="1" si="12"/>
        <v/>
      </c>
      <c r="P92" s="43" t="str">
        <f t="shared" ca="1" si="12"/>
        <v/>
      </c>
      <c r="Q92" s="43" t="str">
        <f t="shared" ca="1" si="12"/>
        <v/>
      </c>
      <c r="R92" s="43" t="str">
        <f t="shared" ca="1" si="12"/>
        <v/>
      </c>
      <c r="S92" s="44" t="str">
        <f t="shared" si="9"/>
        <v/>
      </c>
      <c r="T92" s="43" t="str">
        <f>IF($C92="","",SUMIFS(Overview!$G$18:$G$32,Overview!$D$18:$D$32,"&lt;="&amp;$C92,Overview!$E$18:$E$32,"&gt;="&amp;$C92))</f>
        <v/>
      </c>
      <c r="U92" s="43" t="str">
        <f ca="1">IF(OR($C92="",Overview!$I$33=""),"",IF($C92&gt;Overview!$I$33,"",SUM($S$12:S92)))</f>
        <v/>
      </c>
      <c r="V92" s="43" t="str">
        <f>IF($C92="","",SUM($T$12:T92))</f>
        <v/>
      </c>
      <c r="W92" s="45" t="str">
        <f t="shared" ca="1" si="10"/>
        <v/>
      </c>
    </row>
    <row r="93" spans="3:23" x14ac:dyDescent="0.35">
      <c r="C93" s="42" t="str">
        <f>IF(OR(Overview!$D$33="",Overview!$E$33=""),"",IF(Overview!$D$33+81&gt;Overview!$E$33,"",Overview!$D$33+81))</f>
        <v/>
      </c>
      <c r="D93" s="43" t="str">
        <f t="shared" ca="1" si="12"/>
        <v/>
      </c>
      <c r="E93" s="43" t="str">
        <f t="shared" ca="1" si="12"/>
        <v/>
      </c>
      <c r="F93" s="43" t="str">
        <f t="shared" ca="1" si="12"/>
        <v/>
      </c>
      <c r="G93" s="43" t="str">
        <f t="shared" ca="1" si="12"/>
        <v/>
      </c>
      <c r="H93" s="43" t="str">
        <f t="shared" ca="1" si="12"/>
        <v/>
      </c>
      <c r="I93" s="43" t="str">
        <f t="shared" ca="1" si="12"/>
        <v/>
      </c>
      <c r="J93" s="43" t="str">
        <f t="shared" ca="1" si="12"/>
        <v/>
      </c>
      <c r="K93" s="43" t="str">
        <f t="shared" ca="1" si="12"/>
        <v/>
      </c>
      <c r="L93" s="43" t="str">
        <f t="shared" ca="1" si="12"/>
        <v/>
      </c>
      <c r="M93" s="43" t="str">
        <f t="shared" ca="1" si="12"/>
        <v/>
      </c>
      <c r="N93" s="43" t="str">
        <f t="shared" ca="1" si="12"/>
        <v/>
      </c>
      <c r="O93" s="43" t="str">
        <f t="shared" ca="1" si="12"/>
        <v/>
      </c>
      <c r="P93" s="43" t="str">
        <f t="shared" ca="1" si="12"/>
        <v/>
      </c>
      <c r="Q93" s="43" t="str">
        <f t="shared" ca="1" si="12"/>
        <v/>
      </c>
      <c r="R93" s="43" t="str">
        <f t="shared" ca="1" si="12"/>
        <v/>
      </c>
      <c r="S93" s="44" t="str">
        <f t="shared" si="9"/>
        <v/>
      </c>
      <c r="T93" s="43" t="str">
        <f>IF($C93="","",SUMIFS(Overview!$G$18:$G$32,Overview!$D$18:$D$32,"&lt;="&amp;$C93,Overview!$E$18:$E$32,"&gt;="&amp;$C93))</f>
        <v/>
      </c>
      <c r="U93" s="43" t="str">
        <f ca="1">IF(OR($C93="",Overview!$I$33=""),"",IF($C93&gt;Overview!$I$33,"",SUM($S$12:S93)))</f>
        <v/>
      </c>
      <c r="V93" s="43" t="str">
        <f>IF($C93="","",SUM($T$12:T93))</f>
        <v/>
      </c>
      <c r="W93" s="45" t="str">
        <f t="shared" ca="1" si="10"/>
        <v/>
      </c>
    </row>
    <row r="94" spans="3:23" x14ac:dyDescent="0.35">
      <c r="C94" s="42" t="str">
        <f>IF(OR(Overview!$D$33="",Overview!$E$33=""),"",IF(Overview!$D$33+82&gt;Overview!$E$33,"",Overview!$D$33+82))</f>
        <v/>
      </c>
      <c r="D94" s="43" t="str">
        <f t="shared" ca="1" si="12"/>
        <v/>
      </c>
      <c r="E94" s="43" t="str">
        <f t="shared" ca="1" si="12"/>
        <v/>
      </c>
      <c r="F94" s="43" t="str">
        <f t="shared" ca="1" si="12"/>
        <v/>
      </c>
      <c r="G94" s="43" t="str">
        <f t="shared" ca="1" si="12"/>
        <v/>
      </c>
      <c r="H94" s="43" t="str">
        <f t="shared" ca="1" si="12"/>
        <v/>
      </c>
      <c r="I94" s="43" t="str">
        <f t="shared" ca="1" si="12"/>
        <v/>
      </c>
      <c r="J94" s="43" t="str">
        <f t="shared" ca="1" si="12"/>
        <v/>
      </c>
      <c r="K94" s="43" t="str">
        <f t="shared" ca="1" si="12"/>
        <v/>
      </c>
      <c r="L94" s="43" t="str">
        <f t="shared" ca="1" si="12"/>
        <v/>
      </c>
      <c r="M94" s="43" t="str">
        <f t="shared" ca="1" si="12"/>
        <v/>
      </c>
      <c r="N94" s="43" t="str">
        <f t="shared" ca="1" si="12"/>
        <v/>
      </c>
      <c r="O94" s="43" t="str">
        <f t="shared" ca="1" si="12"/>
        <v/>
      </c>
      <c r="P94" s="43" t="str">
        <f t="shared" ca="1" si="12"/>
        <v/>
      </c>
      <c r="Q94" s="43" t="str">
        <f t="shared" ca="1" si="12"/>
        <v/>
      </c>
      <c r="R94" s="43" t="str">
        <f t="shared" ca="1" si="12"/>
        <v/>
      </c>
      <c r="S94" s="44" t="str">
        <f t="shared" si="9"/>
        <v/>
      </c>
      <c r="T94" s="43" t="str">
        <f>IF($C94="","",SUMIFS(Overview!$G$18:$G$32,Overview!$D$18:$D$32,"&lt;="&amp;$C94,Overview!$E$18:$E$32,"&gt;="&amp;$C94))</f>
        <v/>
      </c>
      <c r="U94" s="43" t="str">
        <f ca="1">IF(OR($C94="",Overview!$I$33=""),"",IF($C94&gt;Overview!$I$33,"",SUM($S$12:S94)))</f>
        <v/>
      </c>
      <c r="V94" s="43" t="str">
        <f>IF($C94="","",SUM($T$12:T94))</f>
        <v/>
      </c>
      <c r="W94" s="45" t="str">
        <f t="shared" ca="1" si="10"/>
        <v/>
      </c>
    </row>
    <row r="95" spans="3:23" x14ac:dyDescent="0.35">
      <c r="C95" s="42" t="str">
        <f>IF(OR(Overview!$D$33="",Overview!$E$33=""),"",IF(Overview!$D$33+83&gt;Overview!$E$33,"",Overview!$D$33+83))</f>
        <v/>
      </c>
      <c r="D95" s="43" t="str">
        <f t="shared" ca="1" si="12"/>
        <v/>
      </c>
      <c r="E95" s="43" t="str">
        <f t="shared" ca="1" si="12"/>
        <v/>
      </c>
      <c r="F95" s="43" t="str">
        <f t="shared" ca="1" si="12"/>
        <v/>
      </c>
      <c r="G95" s="43" t="str">
        <f t="shared" ca="1" si="12"/>
        <v/>
      </c>
      <c r="H95" s="43" t="str">
        <f t="shared" ca="1" si="12"/>
        <v/>
      </c>
      <c r="I95" s="43" t="str">
        <f t="shared" ca="1" si="12"/>
        <v/>
      </c>
      <c r="J95" s="43" t="str">
        <f t="shared" ca="1" si="12"/>
        <v/>
      </c>
      <c r="K95" s="43" t="str">
        <f t="shared" ca="1" si="12"/>
        <v/>
      </c>
      <c r="L95" s="43" t="str">
        <f t="shared" ca="1" si="12"/>
        <v/>
      </c>
      <c r="M95" s="43" t="str">
        <f t="shared" ca="1" si="12"/>
        <v/>
      </c>
      <c r="N95" s="43" t="str">
        <f t="shared" ca="1" si="12"/>
        <v/>
      </c>
      <c r="O95" s="43" t="str">
        <f t="shared" ca="1" si="12"/>
        <v/>
      </c>
      <c r="P95" s="43" t="str">
        <f t="shared" ca="1" si="12"/>
        <v/>
      </c>
      <c r="Q95" s="43" t="str">
        <f t="shared" ca="1" si="12"/>
        <v/>
      </c>
      <c r="R95" s="43" t="str">
        <f t="shared" ca="1" si="12"/>
        <v/>
      </c>
      <c r="S95" s="44" t="str">
        <f t="shared" si="9"/>
        <v/>
      </c>
      <c r="T95" s="43" t="str">
        <f>IF($C95="","",SUMIFS(Overview!$G$18:$G$32,Overview!$D$18:$D$32,"&lt;="&amp;$C95,Overview!$E$18:$E$32,"&gt;="&amp;$C95))</f>
        <v/>
      </c>
      <c r="U95" s="43" t="str">
        <f ca="1">IF(OR($C95="",Overview!$I$33=""),"",IF($C95&gt;Overview!$I$33,"",SUM($S$12:S95)))</f>
        <v/>
      </c>
      <c r="V95" s="43" t="str">
        <f>IF($C95="","",SUM($T$12:T95))</f>
        <v/>
      </c>
      <c r="W95" s="45" t="str">
        <f t="shared" ca="1" si="10"/>
        <v/>
      </c>
    </row>
    <row r="96" spans="3:23" x14ac:dyDescent="0.35">
      <c r="C96" s="42" t="str">
        <f>IF(OR(Overview!$D$33="",Overview!$E$33=""),"",IF(Overview!$D$33+84&gt;Overview!$E$33,"",Overview!$D$33+84))</f>
        <v/>
      </c>
      <c r="D96" s="43" t="str">
        <f t="shared" ca="1" si="12"/>
        <v/>
      </c>
      <c r="E96" s="43" t="str">
        <f t="shared" ca="1" si="12"/>
        <v/>
      </c>
      <c r="F96" s="43" t="str">
        <f t="shared" ca="1" si="12"/>
        <v/>
      </c>
      <c r="G96" s="43" t="str">
        <f t="shared" ca="1" si="12"/>
        <v/>
      </c>
      <c r="H96" s="43" t="str">
        <f t="shared" ca="1" si="12"/>
        <v/>
      </c>
      <c r="I96" s="43" t="str">
        <f t="shared" ca="1" si="12"/>
        <v/>
      </c>
      <c r="J96" s="43" t="str">
        <f t="shared" ca="1" si="12"/>
        <v/>
      </c>
      <c r="K96" s="43" t="str">
        <f t="shared" ca="1" si="12"/>
        <v/>
      </c>
      <c r="L96" s="43" t="str">
        <f t="shared" ca="1" si="12"/>
        <v/>
      </c>
      <c r="M96" s="43" t="str">
        <f t="shared" ca="1" si="12"/>
        <v/>
      </c>
      <c r="N96" s="43" t="str">
        <f t="shared" ca="1" si="12"/>
        <v/>
      </c>
      <c r="O96" s="43" t="str">
        <f t="shared" ca="1" si="12"/>
        <v/>
      </c>
      <c r="P96" s="43" t="str">
        <f t="shared" ca="1" si="12"/>
        <v/>
      </c>
      <c r="Q96" s="43" t="str">
        <f t="shared" ca="1" si="12"/>
        <v/>
      </c>
      <c r="R96" s="43" t="str">
        <f t="shared" ca="1" si="12"/>
        <v/>
      </c>
      <c r="S96" s="44" t="str">
        <f t="shared" si="9"/>
        <v/>
      </c>
      <c r="T96" s="43" t="str">
        <f>IF($C96="","",SUMIFS(Overview!$G$18:$G$32,Overview!$D$18:$D$32,"&lt;="&amp;$C96,Overview!$E$18:$E$32,"&gt;="&amp;$C96))</f>
        <v/>
      </c>
      <c r="U96" s="43" t="str">
        <f ca="1">IF(OR($C96="",Overview!$I$33=""),"",IF($C96&gt;Overview!$I$33,"",SUM($S$12:S96)))</f>
        <v/>
      </c>
      <c r="V96" s="43" t="str">
        <f>IF($C96="","",SUM($T$12:T96))</f>
        <v/>
      </c>
      <c r="W96" s="45" t="str">
        <f t="shared" ca="1" si="10"/>
        <v/>
      </c>
    </row>
    <row r="97" spans="3:23" x14ac:dyDescent="0.35">
      <c r="C97" s="42" t="str">
        <f>IF(OR(Overview!$D$33="",Overview!$E$33=""),"",IF(Overview!$D$33+85&gt;Overview!$E$33,"",Overview!$D$33+85))</f>
        <v/>
      </c>
      <c r="D97" s="43" t="str">
        <f t="shared" ca="1" si="12"/>
        <v/>
      </c>
      <c r="E97" s="43" t="str">
        <f t="shared" ca="1" si="12"/>
        <v/>
      </c>
      <c r="F97" s="43" t="str">
        <f t="shared" ca="1" si="12"/>
        <v/>
      </c>
      <c r="G97" s="43" t="str">
        <f t="shared" ca="1" si="12"/>
        <v/>
      </c>
      <c r="H97" s="43" t="str">
        <f t="shared" ca="1" si="12"/>
        <v/>
      </c>
      <c r="I97" s="43" t="str">
        <f t="shared" ca="1" si="12"/>
        <v/>
      </c>
      <c r="J97" s="43" t="str">
        <f t="shared" ca="1" si="12"/>
        <v/>
      </c>
      <c r="K97" s="43" t="str">
        <f t="shared" ca="1" si="12"/>
        <v/>
      </c>
      <c r="L97" s="43" t="str">
        <f t="shared" ca="1" si="12"/>
        <v/>
      </c>
      <c r="M97" s="43" t="str">
        <f t="shared" ca="1" si="12"/>
        <v/>
      </c>
      <c r="N97" s="43" t="str">
        <f t="shared" ca="1" si="12"/>
        <v/>
      </c>
      <c r="O97" s="43" t="str">
        <f t="shared" ca="1" si="12"/>
        <v/>
      </c>
      <c r="P97" s="43" t="str">
        <f t="shared" ca="1" si="12"/>
        <v/>
      </c>
      <c r="Q97" s="43" t="str">
        <f t="shared" ca="1" si="12"/>
        <v/>
      </c>
      <c r="R97" s="43" t="str">
        <f t="shared" ca="1" si="12"/>
        <v/>
      </c>
      <c r="S97" s="44" t="str">
        <f t="shared" si="9"/>
        <v/>
      </c>
      <c r="T97" s="43" t="str">
        <f>IF($C97="","",SUMIFS(Overview!$G$18:$G$32,Overview!$D$18:$D$32,"&lt;="&amp;$C97,Overview!$E$18:$E$32,"&gt;="&amp;$C97))</f>
        <v/>
      </c>
      <c r="U97" s="43" t="str">
        <f ca="1">IF(OR($C97="",Overview!$I$33=""),"",IF($C97&gt;Overview!$I$33,"",SUM($S$12:S97)))</f>
        <v/>
      </c>
      <c r="V97" s="43" t="str">
        <f>IF($C97="","",SUM($T$12:T97))</f>
        <v/>
      </c>
      <c r="W97" s="45" t="str">
        <f t="shared" ca="1" si="10"/>
        <v/>
      </c>
    </row>
    <row r="98" spans="3:23" x14ac:dyDescent="0.35">
      <c r="C98" s="42" t="str">
        <f>IF(OR(Overview!$D$33="",Overview!$E$33=""),"",IF(Overview!$D$33+86&gt;Overview!$E$33,"",Overview!$D$33+86))</f>
        <v/>
      </c>
      <c r="D98" s="43" t="str">
        <f t="shared" ca="1" si="12"/>
        <v/>
      </c>
      <c r="E98" s="43" t="str">
        <f t="shared" ca="1" si="12"/>
        <v/>
      </c>
      <c r="F98" s="43" t="str">
        <f t="shared" ca="1" si="12"/>
        <v/>
      </c>
      <c r="G98" s="43" t="str">
        <f t="shared" ca="1" si="12"/>
        <v/>
      </c>
      <c r="H98" s="43" t="str">
        <f t="shared" ca="1" si="12"/>
        <v/>
      </c>
      <c r="I98" s="43" t="str">
        <f t="shared" ca="1" si="12"/>
        <v/>
      </c>
      <c r="J98" s="43" t="str">
        <f t="shared" ca="1" si="12"/>
        <v/>
      </c>
      <c r="K98" s="43" t="str">
        <f t="shared" ca="1" si="12"/>
        <v/>
      </c>
      <c r="L98" s="43" t="str">
        <f t="shared" ca="1" si="12"/>
        <v/>
      </c>
      <c r="M98" s="43" t="str">
        <f t="shared" ca="1" si="12"/>
        <v/>
      </c>
      <c r="N98" s="43" t="str">
        <f t="shared" ca="1" si="12"/>
        <v/>
      </c>
      <c r="O98" s="43" t="str">
        <f t="shared" ca="1" si="12"/>
        <v/>
      </c>
      <c r="P98" s="43" t="str">
        <f t="shared" ca="1" si="12"/>
        <v/>
      </c>
      <c r="Q98" s="43" t="str">
        <f t="shared" ca="1" si="12"/>
        <v/>
      </c>
      <c r="R98" s="43" t="str">
        <f t="shared" ca="1" si="12"/>
        <v/>
      </c>
      <c r="S98" s="44" t="str">
        <f t="shared" si="9"/>
        <v/>
      </c>
      <c r="T98" s="43" t="str">
        <f>IF($C98="","",SUMIFS(Overview!$G$18:$G$32,Overview!$D$18:$D$32,"&lt;="&amp;$C98,Overview!$E$18:$E$32,"&gt;="&amp;$C98))</f>
        <v/>
      </c>
      <c r="U98" s="43" t="str">
        <f ca="1">IF(OR($C98="",Overview!$I$33=""),"",IF($C98&gt;Overview!$I$33,"",SUM($S$12:S98)))</f>
        <v/>
      </c>
      <c r="V98" s="43" t="str">
        <f>IF($C98="","",SUM($T$12:T98))</f>
        <v/>
      </c>
      <c r="W98" s="45" t="str">
        <f t="shared" ca="1" si="10"/>
        <v/>
      </c>
    </row>
    <row r="99" spans="3:23" x14ac:dyDescent="0.35">
      <c r="C99" s="42" t="str">
        <f>IF(OR(Overview!$D$33="",Overview!$E$33=""),"",IF(Overview!$D$33+87&gt;Overview!$E$33,"",Overview!$D$33+87))</f>
        <v/>
      </c>
      <c r="D99" s="43" t="str">
        <f t="shared" ca="1" si="12"/>
        <v/>
      </c>
      <c r="E99" s="43" t="str">
        <f t="shared" ca="1" si="12"/>
        <v/>
      </c>
      <c r="F99" s="43" t="str">
        <f t="shared" ca="1" si="12"/>
        <v/>
      </c>
      <c r="G99" s="43" t="str">
        <f t="shared" ca="1" si="12"/>
        <v/>
      </c>
      <c r="H99" s="43" t="str">
        <f t="shared" ca="1" si="12"/>
        <v/>
      </c>
      <c r="I99" s="43" t="str">
        <f t="shared" ca="1" si="12"/>
        <v/>
      </c>
      <c r="J99" s="43" t="str">
        <f t="shared" ca="1" si="12"/>
        <v/>
      </c>
      <c r="K99" s="43" t="str">
        <f t="shared" ca="1" si="12"/>
        <v/>
      </c>
      <c r="L99" s="43" t="str">
        <f t="shared" ca="1" si="12"/>
        <v/>
      </c>
      <c r="M99" s="43" t="str">
        <f t="shared" ca="1" si="12"/>
        <v/>
      </c>
      <c r="N99" s="43" t="str">
        <f t="shared" ca="1" si="12"/>
        <v/>
      </c>
      <c r="O99" s="43" t="str">
        <f t="shared" ca="1" si="12"/>
        <v/>
      </c>
      <c r="P99" s="43" t="str">
        <f t="shared" ca="1" si="12"/>
        <v/>
      </c>
      <c r="Q99" s="43" t="str">
        <f t="shared" ca="1" si="12"/>
        <v/>
      </c>
      <c r="R99" s="43" t="str">
        <f t="shared" ca="1" si="12"/>
        <v/>
      </c>
      <c r="S99" s="44" t="str">
        <f t="shared" si="9"/>
        <v/>
      </c>
      <c r="T99" s="43" t="str">
        <f>IF($C99="","",SUMIFS(Overview!$G$18:$G$32,Overview!$D$18:$D$32,"&lt;="&amp;$C99,Overview!$E$18:$E$32,"&gt;="&amp;$C99))</f>
        <v/>
      </c>
      <c r="U99" s="43" t="str">
        <f ca="1">IF(OR($C99="",Overview!$I$33=""),"",IF($C99&gt;Overview!$I$33,"",SUM($S$12:S99)))</f>
        <v/>
      </c>
      <c r="V99" s="43" t="str">
        <f>IF($C99="","",SUM($T$12:T99))</f>
        <v/>
      </c>
      <c r="W99" s="45" t="str">
        <f t="shared" ca="1" si="10"/>
        <v/>
      </c>
    </row>
    <row r="100" spans="3:23" x14ac:dyDescent="0.35">
      <c r="C100" s="42" t="str">
        <f>IF(OR(Overview!$D$33="",Overview!$E$33=""),"",IF(Overview!$D$33+88&gt;Overview!$E$33,"",Overview!$D$33+88))</f>
        <v/>
      </c>
      <c r="D100" s="43" t="str">
        <f t="shared" ca="1" si="12"/>
        <v/>
      </c>
      <c r="E100" s="43" t="str">
        <f t="shared" ca="1" si="12"/>
        <v/>
      </c>
      <c r="F100" s="43" t="str">
        <f t="shared" ca="1" si="12"/>
        <v/>
      </c>
      <c r="G100" s="43" t="str">
        <f t="shared" ca="1" si="12"/>
        <v/>
      </c>
      <c r="H100" s="43" t="str">
        <f t="shared" ca="1" si="12"/>
        <v/>
      </c>
      <c r="I100" s="43" t="str">
        <f t="shared" ca="1" si="12"/>
        <v/>
      </c>
      <c r="J100" s="43" t="str">
        <f t="shared" ca="1" si="12"/>
        <v/>
      </c>
      <c r="K100" s="43" t="str">
        <f t="shared" ca="1" si="12"/>
        <v/>
      </c>
      <c r="L100" s="43" t="str">
        <f t="shared" ca="1" si="12"/>
        <v/>
      </c>
      <c r="M100" s="43" t="str">
        <f t="shared" ca="1" si="12"/>
        <v/>
      </c>
      <c r="N100" s="43" t="str">
        <f t="shared" ca="1" si="12"/>
        <v/>
      </c>
      <c r="O100" s="43" t="str">
        <f t="shared" ca="1" si="12"/>
        <v/>
      </c>
      <c r="P100" s="43" t="str">
        <f t="shared" ca="1" si="12"/>
        <v/>
      </c>
      <c r="Q100" s="43" t="str">
        <f t="shared" ca="1" si="12"/>
        <v/>
      </c>
      <c r="R100" s="43" t="str">
        <f t="shared" ca="1" si="12"/>
        <v/>
      </c>
      <c r="S100" s="44" t="str">
        <f t="shared" si="9"/>
        <v/>
      </c>
      <c r="T100" s="43" t="str">
        <f>IF($C100="","",SUMIFS(Overview!$G$18:$G$32,Overview!$D$18:$D$32,"&lt;="&amp;$C100,Overview!$E$18:$E$32,"&gt;="&amp;$C100))</f>
        <v/>
      </c>
      <c r="U100" s="43" t="str">
        <f ca="1">IF(OR($C100="",Overview!$I$33=""),"",IF($C100&gt;Overview!$I$33,"",SUM($S$12:S100)))</f>
        <v/>
      </c>
      <c r="V100" s="43" t="str">
        <f>IF($C100="","",SUM($T$12:T100))</f>
        <v/>
      </c>
      <c r="W100" s="45" t="str">
        <f t="shared" ca="1" si="10"/>
        <v/>
      </c>
    </row>
    <row r="101" spans="3:23" x14ac:dyDescent="0.35">
      <c r="C101" s="42" t="str">
        <f>IF(OR(Overview!$D$33="",Overview!$E$33=""),"",IF(Overview!$D$33+89&gt;Overview!$E$33,"",Overview!$D$33+89))</f>
        <v/>
      </c>
      <c r="D101" s="43" t="str">
        <f t="shared" ca="1" si="12"/>
        <v/>
      </c>
      <c r="E101" s="43" t="str">
        <f t="shared" ca="1" si="12"/>
        <v/>
      </c>
      <c r="F101" s="43" t="str">
        <f t="shared" ca="1" si="12"/>
        <v/>
      </c>
      <c r="G101" s="43" t="str">
        <f t="shared" ca="1" si="12"/>
        <v/>
      </c>
      <c r="H101" s="43" t="str">
        <f t="shared" ca="1" si="12"/>
        <v/>
      </c>
      <c r="I101" s="43" t="str">
        <f t="shared" ca="1" si="12"/>
        <v/>
      </c>
      <c r="J101" s="43" t="str">
        <f t="shared" ca="1" si="12"/>
        <v/>
      </c>
      <c r="K101" s="43" t="str">
        <f t="shared" ca="1" si="12"/>
        <v/>
      </c>
      <c r="L101" s="43" t="str">
        <f t="shared" ca="1" si="12"/>
        <v/>
      </c>
      <c r="M101" s="43" t="str">
        <f t="shared" ca="1" si="12"/>
        <v/>
      </c>
      <c r="N101" s="43" t="str">
        <f t="shared" ca="1" si="12"/>
        <v/>
      </c>
      <c r="O101" s="43" t="str">
        <f t="shared" ca="1" si="12"/>
        <v/>
      </c>
      <c r="P101" s="43" t="str">
        <f t="shared" ca="1" si="12"/>
        <v/>
      </c>
      <c r="Q101" s="43" t="str">
        <f t="shared" ca="1" si="12"/>
        <v/>
      </c>
      <c r="R101" s="43" t="str">
        <f t="shared" ca="1" si="12"/>
        <v/>
      </c>
      <c r="S101" s="44" t="str">
        <f t="shared" si="9"/>
        <v/>
      </c>
      <c r="T101" s="43" t="str">
        <f>IF($C101="","",SUMIFS(Overview!$G$18:$G$32,Overview!$D$18:$D$32,"&lt;="&amp;$C101,Overview!$E$18:$E$32,"&gt;="&amp;$C101))</f>
        <v/>
      </c>
      <c r="U101" s="43" t="str">
        <f ca="1">IF(OR($C101="",Overview!$I$33=""),"",IF($C101&gt;Overview!$I$33,"",SUM($S$12:S101)))</f>
        <v/>
      </c>
      <c r="V101" s="43" t="str">
        <f>IF($C101="","",SUM($T$12:T101))</f>
        <v/>
      </c>
      <c r="W101" s="45" t="str">
        <f t="shared" ca="1" si="10"/>
        <v/>
      </c>
    </row>
    <row r="102" spans="3:23" x14ac:dyDescent="0.35">
      <c r="C102" s="42" t="str">
        <f>IF(OR(Overview!$D$33="",Overview!$E$33=""),"",IF(Overview!$D$33+90&gt;Overview!$E$33,"",Overview!$D$33+90))</f>
        <v/>
      </c>
      <c r="D102" s="43" t="str">
        <f t="shared" ref="D102:R111" ca="1" si="13">IF(OR($C102="",D$11=""),"",IFERROR(SUMIFS(INDIRECT("'"&amp;D$11&amp;"'!$F$14:$F$10013"),INDIRECT("'"&amp;D$11&amp;"'!$C$14:$C$10013"),$C102),""))</f>
        <v/>
      </c>
      <c r="E102" s="43" t="str">
        <f t="shared" ca="1" si="13"/>
        <v/>
      </c>
      <c r="F102" s="43" t="str">
        <f t="shared" ca="1" si="13"/>
        <v/>
      </c>
      <c r="G102" s="43" t="str">
        <f t="shared" ca="1" si="13"/>
        <v/>
      </c>
      <c r="H102" s="43" t="str">
        <f t="shared" ca="1" si="13"/>
        <v/>
      </c>
      <c r="I102" s="43" t="str">
        <f t="shared" ca="1" si="13"/>
        <v/>
      </c>
      <c r="J102" s="43" t="str">
        <f t="shared" ca="1" si="13"/>
        <v/>
      </c>
      <c r="K102" s="43" t="str">
        <f t="shared" ca="1" si="13"/>
        <v/>
      </c>
      <c r="L102" s="43" t="str">
        <f t="shared" ca="1" si="13"/>
        <v/>
      </c>
      <c r="M102" s="43" t="str">
        <f t="shared" ca="1" si="13"/>
        <v/>
      </c>
      <c r="N102" s="43" t="str">
        <f t="shared" ca="1" si="13"/>
        <v/>
      </c>
      <c r="O102" s="43" t="str">
        <f t="shared" ca="1" si="13"/>
        <v/>
      </c>
      <c r="P102" s="43" t="str">
        <f t="shared" ca="1" si="13"/>
        <v/>
      </c>
      <c r="Q102" s="43" t="str">
        <f t="shared" ca="1" si="13"/>
        <v/>
      </c>
      <c r="R102" s="43" t="str">
        <f t="shared" ca="1" si="13"/>
        <v/>
      </c>
      <c r="S102" s="44" t="str">
        <f t="shared" si="9"/>
        <v/>
      </c>
      <c r="T102" s="43" t="str">
        <f>IF($C102="","",SUMIFS(Overview!$G$18:$G$32,Overview!$D$18:$D$32,"&lt;="&amp;$C102,Overview!$E$18:$E$32,"&gt;="&amp;$C102))</f>
        <v/>
      </c>
      <c r="U102" s="43" t="str">
        <f ca="1">IF(OR($C102="",Overview!$I$33=""),"",IF($C102&gt;Overview!$I$33,"",SUM($S$12:S102)))</f>
        <v/>
      </c>
      <c r="V102" s="43" t="str">
        <f>IF($C102="","",SUM($T$12:T102))</f>
        <v/>
      </c>
      <c r="W102" s="45" t="str">
        <f t="shared" ca="1" si="10"/>
        <v/>
      </c>
    </row>
    <row r="103" spans="3:23" x14ac:dyDescent="0.35">
      <c r="C103" s="42" t="str">
        <f>IF(OR(Overview!$D$33="",Overview!$E$33=""),"",IF(Overview!$D$33+91&gt;Overview!$E$33,"",Overview!$D$33+91))</f>
        <v/>
      </c>
      <c r="D103" s="43" t="str">
        <f t="shared" ca="1" si="13"/>
        <v/>
      </c>
      <c r="E103" s="43" t="str">
        <f t="shared" ca="1" si="13"/>
        <v/>
      </c>
      <c r="F103" s="43" t="str">
        <f t="shared" ca="1" si="13"/>
        <v/>
      </c>
      <c r="G103" s="43" t="str">
        <f t="shared" ca="1" si="13"/>
        <v/>
      </c>
      <c r="H103" s="43" t="str">
        <f t="shared" ca="1" si="13"/>
        <v/>
      </c>
      <c r="I103" s="43" t="str">
        <f t="shared" ca="1" si="13"/>
        <v/>
      </c>
      <c r="J103" s="43" t="str">
        <f t="shared" ca="1" si="13"/>
        <v/>
      </c>
      <c r="K103" s="43" t="str">
        <f t="shared" ca="1" si="13"/>
        <v/>
      </c>
      <c r="L103" s="43" t="str">
        <f t="shared" ca="1" si="13"/>
        <v/>
      </c>
      <c r="M103" s="43" t="str">
        <f t="shared" ca="1" si="13"/>
        <v/>
      </c>
      <c r="N103" s="43" t="str">
        <f t="shared" ca="1" si="13"/>
        <v/>
      </c>
      <c r="O103" s="43" t="str">
        <f t="shared" ca="1" si="13"/>
        <v/>
      </c>
      <c r="P103" s="43" t="str">
        <f t="shared" ca="1" si="13"/>
        <v/>
      </c>
      <c r="Q103" s="43" t="str">
        <f t="shared" ca="1" si="13"/>
        <v/>
      </c>
      <c r="R103" s="43" t="str">
        <f t="shared" ca="1" si="13"/>
        <v/>
      </c>
      <c r="S103" s="44" t="str">
        <f t="shared" si="9"/>
        <v/>
      </c>
      <c r="T103" s="43" t="str">
        <f>IF($C103="","",SUMIFS(Overview!$G$18:$G$32,Overview!$D$18:$D$32,"&lt;="&amp;$C103,Overview!$E$18:$E$32,"&gt;="&amp;$C103))</f>
        <v/>
      </c>
      <c r="U103" s="43" t="str">
        <f ca="1">IF(OR($C103="",Overview!$I$33=""),"",IF($C103&gt;Overview!$I$33,"",SUM($S$12:S103)))</f>
        <v/>
      </c>
      <c r="V103" s="43" t="str">
        <f>IF($C103="","",SUM($T$12:T103))</f>
        <v/>
      </c>
      <c r="W103" s="45" t="str">
        <f t="shared" ca="1" si="10"/>
        <v/>
      </c>
    </row>
    <row r="104" spans="3:23" x14ac:dyDescent="0.35">
      <c r="C104" s="42" t="str">
        <f>IF(OR(Overview!$D$33="",Overview!$E$33=""),"",IF(Overview!$D$33+92&gt;Overview!$E$33,"",Overview!$D$33+92))</f>
        <v/>
      </c>
      <c r="D104" s="43" t="str">
        <f t="shared" ca="1" si="13"/>
        <v/>
      </c>
      <c r="E104" s="43" t="str">
        <f t="shared" ca="1" si="13"/>
        <v/>
      </c>
      <c r="F104" s="43" t="str">
        <f t="shared" ca="1" si="13"/>
        <v/>
      </c>
      <c r="G104" s="43" t="str">
        <f t="shared" ca="1" si="13"/>
        <v/>
      </c>
      <c r="H104" s="43" t="str">
        <f t="shared" ca="1" si="13"/>
        <v/>
      </c>
      <c r="I104" s="43" t="str">
        <f t="shared" ca="1" si="13"/>
        <v/>
      </c>
      <c r="J104" s="43" t="str">
        <f t="shared" ca="1" si="13"/>
        <v/>
      </c>
      <c r="K104" s="43" t="str">
        <f t="shared" ca="1" si="13"/>
        <v/>
      </c>
      <c r="L104" s="43" t="str">
        <f t="shared" ca="1" si="13"/>
        <v/>
      </c>
      <c r="M104" s="43" t="str">
        <f t="shared" ca="1" si="13"/>
        <v/>
      </c>
      <c r="N104" s="43" t="str">
        <f t="shared" ca="1" si="13"/>
        <v/>
      </c>
      <c r="O104" s="43" t="str">
        <f t="shared" ca="1" si="13"/>
        <v/>
      </c>
      <c r="P104" s="43" t="str">
        <f t="shared" ca="1" si="13"/>
        <v/>
      </c>
      <c r="Q104" s="43" t="str">
        <f t="shared" ca="1" si="13"/>
        <v/>
      </c>
      <c r="R104" s="43" t="str">
        <f t="shared" ca="1" si="13"/>
        <v/>
      </c>
      <c r="S104" s="44" t="str">
        <f t="shared" si="9"/>
        <v/>
      </c>
      <c r="T104" s="43" t="str">
        <f>IF($C104="","",SUMIFS(Overview!$G$18:$G$32,Overview!$D$18:$D$32,"&lt;="&amp;$C104,Overview!$E$18:$E$32,"&gt;="&amp;$C104))</f>
        <v/>
      </c>
      <c r="U104" s="43" t="str">
        <f ca="1">IF(OR($C104="",Overview!$I$33=""),"",IF($C104&gt;Overview!$I$33,"",SUM($S$12:S104)))</f>
        <v/>
      </c>
      <c r="V104" s="43" t="str">
        <f>IF($C104="","",SUM($T$12:T104))</f>
        <v/>
      </c>
      <c r="W104" s="45" t="str">
        <f t="shared" ca="1" si="10"/>
        <v/>
      </c>
    </row>
    <row r="105" spans="3:23" x14ac:dyDescent="0.35">
      <c r="C105" s="42" t="str">
        <f>IF(OR(Overview!$D$33="",Overview!$E$33=""),"",IF(Overview!$D$33+93&gt;Overview!$E$33,"",Overview!$D$33+93))</f>
        <v/>
      </c>
      <c r="D105" s="43" t="str">
        <f t="shared" ca="1" si="13"/>
        <v/>
      </c>
      <c r="E105" s="43" t="str">
        <f t="shared" ca="1" si="13"/>
        <v/>
      </c>
      <c r="F105" s="43" t="str">
        <f t="shared" ca="1" si="13"/>
        <v/>
      </c>
      <c r="G105" s="43" t="str">
        <f t="shared" ca="1" si="13"/>
        <v/>
      </c>
      <c r="H105" s="43" t="str">
        <f t="shared" ca="1" si="13"/>
        <v/>
      </c>
      <c r="I105" s="43" t="str">
        <f t="shared" ca="1" si="13"/>
        <v/>
      </c>
      <c r="J105" s="43" t="str">
        <f t="shared" ca="1" si="13"/>
        <v/>
      </c>
      <c r="K105" s="43" t="str">
        <f t="shared" ca="1" si="13"/>
        <v/>
      </c>
      <c r="L105" s="43" t="str">
        <f t="shared" ca="1" si="13"/>
        <v/>
      </c>
      <c r="M105" s="43" t="str">
        <f t="shared" ca="1" si="13"/>
        <v/>
      </c>
      <c r="N105" s="43" t="str">
        <f t="shared" ca="1" si="13"/>
        <v/>
      </c>
      <c r="O105" s="43" t="str">
        <f t="shared" ca="1" si="13"/>
        <v/>
      </c>
      <c r="P105" s="43" t="str">
        <f t="shared" ca="1" si="13"/>
        <v/>
      </c>
      <c r="Q105" s="43" t="str">
        <f t="shared" ca="1" si="13"/>
        <v/>
      </c>
      <c r="R105" s="43" t="str">
        <f t="shared" ca="1" si="13"/>
        <v/>
      </c>
      <c r="S105" s="44" t="str">
        <f t="shared" si="9"/>
        <v/>
      </c>
      <c r="T105" s="43" t="str">
        <f>IF($C105="","",SUMIFS(Overview!$G$18:$G$32,Overview!$D$18:$D$32,"&lt;="&amp;$C105,Overview!$E$18:$E$32,"&gt;="&amp;$C105))</f>
        <v/>
      </c>
      <c r="U105" s="43" t="str">
        <f ca="1">IF(OR($C105="",Overview!$I$33=""),"",IF($C105&gt;Overview!$I$33,"",SUM($S$12:S105)))</f>
        <v/>
      </c>
      <c r="V105" s="43" t="str">
        <f>IF($C105="","",SUM($T$12:T105))</f>
        <v/>
      </c>
      <c r="W105" s="45" t="str">
        <f t="shared" ca="1" si="10"/>
        <v/>
      </c>
    </row>
    <row r="106" spans="3:23" x14ac:dyDescent="0.35">
      <c r="C106" s="42" t="str">
        <f>IF(OR(Overview!$D$33="",Overview!$E$33=""),"",IF(Overview!$D$33+94&gt;Overview!$E$33,"",Overview!$D$33+94))</f>
        <v/>
      </c>
      <c r="D106" s="43" t="str">
        <f t="shared" ca="1" si="13"/>
        <v/>
      </c>
      <c r="E106" s="43" t="str">
        <f t="shared" ca="1" si="13"/>
        <v/>
      </c>
      <c r="F106" s="43" t="str">
        <f t="shared" ca="1" si="13"/>
        <v/>
      </c>
      <c r="G106" s="43" t="str">
        <f t="shared" ca="1" si="13"/>
        <v/>
      </c>
      <c r="H106" s="43" t="str">
        <f t="shared" ca="1" si="13"/>
        <v/>
      </c>
      <c r="I106" s="43" t="str">
        <f t="shared" ca="1" si="13"/>
        <v/>
      </c>
      <c r="J106" s="43" t="str">
        <f t="shared" ca="1" si="13"/>
        <v/>
      </c>
      <c r="K106" s="43" t="str">
        <f t="shared" ca="1" si="13"/>
        <v/>
      </c>
      <c r="L106" s="43" t="str">
        <f t="shared" ca="1" si="13"/>
        <v/>
      </c>
      <c r="M106" s="43" t="str">
        <f t="shared" ca="1" si="13"/>
        <v/>
      </c>
      <c r="N106" s="43" t="str">
        <f t="shared" ca="1" si="13"/>
        <v/>
      </c>
      <c r="O106" s="43" t="str">
        <f t="shared" ca="1" si="13"/>
        <v/>
      </c>
      <c r="P106" s="43" t="str">
        <f t="shared" ca="1" si="13"/>
        <v/>
      </c>
      <c r="Q106" s="43" t="str">
        <f t="shared" ca="1" si="13"/>
        <v/>
      </c>
      <c r="R106" s="43" t="str">
        <f t="shared" ca="1" si="13"/>
        <v/>
      </c>
      <c r="S106" s="44" t="str">
        <f t="shared" si="9"/>
        <v/>
      </c>
      <c r="T106" s="43" t="str">
        <f>IF($C106="","",SUMIFS(Overview!$G$18:$G$32,Overview!$D$18:$D$32,"&lt;="&amp;$C106,Overview!$E$18:$E$32,"&gt;="&amp;$C106))</f>
        <v/>
      </c>
      <c r="U106" s="43" t="str">
        <f ca="1">IF(OR($C106="",Overview!$I$33=""),"",IF($C106&gt;Overview!$I$33,"",SUM($S$12:S106)))</f>
        <v/>
      </c>
      <c r="V106" s="43" t="str">
        <f>IF($C106="","",SUM($T$12:T106))</f>
        <v/>
      </c>
      <c r="W106" s="45" t="str">
        <f t="shared" ca="1" si="10"/>
        <v/>
      </c>
    </row>
    <row r="107" spans="3:23" x14ac:dyDescent="0.35">
      <c r="C107" s="42" t="str">
        <f>IF(OR(Overview!$D$33="",Overview!$E$33=""),"",IF(Overview!$D$33+95&gt;Overview!$E$33,"",Overview!$D$33+95))</f>
        <v/>
      </c>
      <c r="D107" s="43" t="str">
        <f t="shared" ca="1" si="13"/>
        <v/>
      </c>
      <c r="E107" s="43" t="str">
        <f t="shared" ca="1" si="13"/>
        <v/>
      </c>
      <c r="F107" s="43" t="str">
        <f t="shared" ca="1" si="13"/>
        <v/>
      </c>
      <c r="G107" s="43" t="str">
        <f t="shared" ca="1" si="13"/>
        <v/>
      </c>
      <c r="H107" s="43" t="str">
        <f t="shared" ca="1" si="13"/>
        <v/>
      </c>
      <c r="I107" s="43" t="str">
        <f t="shared" ca="1" si="13"/>
        <v/>
      </c>
      <c r="J107" s="43" t="str">
        <f t="shared" ca="1" si="13"/>
        <v/>
      </c>
      <c r="K107" s="43" t="str">
        <f t="shared" ca="1" si="13"/>
        <v/>
      </c>
      <c r="L107" s="43" t="str">
        <f t="shared" ca="1" si="13"/>
        <v/>
      </c>
      <c r="M107" s="43" t="str">
        <f t="shared" ca="1" si="13"/>
        <v/>
      </c>
      <c r="N107" s="43" t="str">
        <f t="shared" ca="1" si="13"/>
        <v/>
      </c>
      <c r="O107" s="43" t="str">
        <f t="shared" ca="1" si="13"/>
        <v/>
      </c>
      <c r="P107" s="43" t="str">
        <f t="shared" ca="1" si="13"/>
        <v/>
      </c>
      <c r="Q107" s="43" t="str">
        <f t="shared" ca="1" si="13"/>
        <v/>
      </c>
      <c r="R107" s="43" t="str">
        <f t="shared" ca="1" si="13"/>
        <v/>
      </c>
      <c r="S107" s="44" t="str">
        <f t="shared" si="9"/>
        <v/>
      </c>
      <c r="T107" s="43" t="str">
        <f>IF($C107="","",SUMIFS(Overview!$G$18:$G$32,Overview!$D$18:$D$32,"&lt;="&amp;$C107,Overview!$E$18:$E$32,"&gt;="&amp;$C107))</f>
        <v/>
      </c>
      <c r="U107" s="43" t="str">
        <f ca="1">IF(OR($C107="",Overview!$I$33=""),"",IF($C107&gt;Overview!$I$33,"",SUM($S$12:S107)))</f>
        <v/>
      </c>
      <c r="V107" s="43" t="str">
        <f>IF($C107="","",SUM($T$12:T107))</f>
        <v/>
      </c>
      <c r="W107" s="45" t="str">
        <f t="shared" ca="1" si="10"/>
        <v/>
      </c>
    </row>
    <row r="108" spans="3:23" x14ac:dyDescent="0.35">
      <c r="C108" s="42" t="str">
        <f>IF(OR(Overview!$D$33="",Overview!$E$33=""),"",IF(Overview!$D$33+96&gt;Overview!$E$33,"",Overview!$D$33+96))</f>
        <v/>
      </c>
      <c r="D108" s="43" t="str">
        <f t="shared" ca="1" si="13"/>
        <v/>
      </c>
      <c r="E108" s="43" t="str">
        <f t="shared" ca="1" si="13"/>
        <v/>
      </c>
      <c r="F108" s="43" t="str">
        <f t="shared" ca="1" si="13"/>
        <v/>
      </c>
      <c r="G108" s="43" t="str">
        <f t="shared" ca="1" si="13"/>
        <v/>
      </c>
      <c r="H108" s="43" t="str">
        <f t="shared" ca="1" si="13"/>
        <v/>
      </c>
      <c r="I108" s="43" t="str">
        <f t="shared" ca="1" si="13"/>
        <v/>
      </c>
      <c r="J108" s="43" t="str">
        <f t="shared" ca="1" si="13"/>
        <v/>
      </c>
      <c r="K108" s="43" t="str">
        <f t="shared" ca="1" si="13"/>
        <v/>
      </c>
      <c r="L108" s="43" t="str">
        <f t="shared" ca="1" si="13"/>
        <v/>
      </c>
      <c r="M108" s="43" t="str">
        <f t="shared" ca="1" si="13"/>
        <v/>
      </c>
      <c r="N108" s="43" t="str">
        <f t="shared" ca="1" si="13"/>
        <v/>
      </c>
      <c r="O108" s="43" t="str">
        <f t="shared" ca="1" si="13"/>
        <v/>
      </c>
      <c r="P108" s="43" t="str">
        <f t="shared" ca="1" si="13"/>
        <v/>
      </c>
      <c r="Q108" s="43" t="str">
        <f t="shared" ca="1" si="13"/>
        <v/>
      </c>
      <c r="R108" s="43" t="str">
        <f t="shared" ca="1" si="13"/>
        <v/>
      </c>
      <c r="S108" s="44" t="str">
        <f t="shared" si="9"/>
        <v/>
      </c>
      <c r="T108" s="43" t="str">
        <f>IF($C108="","",SUMIFS(Overview!$G$18:$G$32,Overview!$D$18:$D$32,"&lt;="&amp;$C108,Overview!$E$18:$E$32,"&gt;="&amp;$C108))</f>
        <v/>
      </c>
      <c r="U108" s="43" t="str">
        <f ca="1">IF(OR($C108="",Overview!$I$33=""),"",IF($C108&gt;Overview!$I$33,"",SUM($S$12:S108)))</f>
        <v/>
      </c>
      <c r="V108" s="43" t="str">
        <f>IF($C108="","",SUM($T$12:T108))</f>
        <v/>
      </c>
      <c r="W108" s="45" t="str">
        <f t="shared" ca="1" si="10"/>
        <v/>
      </c>
    </row>
    <row r="109" spans="3:23" x14ac:dyDescent="0.35">
      <c r="C109" s="42" t="str">
        <f>IF(OR(Overview!$D$33="",Overview!$E$33=""),"",IF(Overview!$D$33+97&gt;Overview!$E$33,"",Overview!$D$33+97))</f>
        <v/>
      </c>
      <c r="D109" s="43" t="str">
        <f t="shared" ca="1" si="13"/>
        <v/>
      </c>
      <c r="E109" s="43" t="str">
        <f t="shared" ca="1" si="13"/>
        <v/>
      </c>
      <c r="F109" s="43" t="str">
        <f t="shared" ca="1" si="13"/>
        <v/>
      </c>
      <c r="G109" s="43" t="str">
        <f t="shared" ca="1" si="13"/>
        <v/>
      </c>
      <c r="H109" s="43" t="str">
        <f t="shared" ca="1" si="13"/>
        <v/>
      </c>
      <c r="I109" s="43" t="str">
        <f t="shared" ca="1" si="13"/>
        <v/>
      </c>
      <c r="J109" s="43" t="str">
        <f t="shared" ca="1" si="13"/>
        <v/>
      </c>
      <c r="K109" s="43" t="str">
        <f t="shared" ca="1" si="13"/>
        <v/>
      </c>
      <c r="L109" s="43" t="str">
        <f t="shared" ca="1" si="13"/>
        <v/>
      </c>
      <c r="M109" s="43" t="str">
        <f t="shared" ca="1" si="13"/>
        <v/>
      </c>
      <c r="N109" s="43" t="str">
        <f t="shared" ca="1" si="13"/>
        <v/>
      </c>
      <c r="O109" s="43" t="str">
        <f t="shared" ca="1" si="13"/>
        <v/>
      </c>
      <c r="P109" s="43" t="str">
        <f t="shared" ca="1" si="13"/>
        <v/>
      </c>
      <c r="Q109" s="43" t="str">
        <f t="shared" ca="1" si="13"/>
        <v/>
      </c>
      <c r="R109" s="43" t="str">
        <f t="shared" ca="1" si="13"/>
        <v/>
      </c>
      <c r="S109" s="44" t="str">
        <f t="shared" si="9"/>
        <v/>
      </c>
      <c r="T109" s="43" t="str">
        <f>IF($C109="","",SUMIFS(Overview!$G$18:$G$32,Overview!$D$18:$D$32,"&lt;="&amp;$C109,Overview!$E$18:$E$32,"&gt;="&amp;$C109))</f>
        <v/>
      </c>
      <c r="U109" s="43" t="str">
        <f ca="1">IF(OR($C109="",Overview!$I$33=""),"",IF($C109&gt;Overview!$I$33,"",SUM($S$12:S109)))</f>
        <v/>
      </c>
      <c r="V109" s="43" t="str">
        <f>IF($C109="","",SUM($T$12:T109))</f>
        <v/>
      </c>
      <c r="W109" s="45" t="str">
        <f t="shared" ca="1" si="10"/>
        <v/>
      </c>
    </row>
    <row r="110" spans="3:23" x14ac:dyDescent="0.35">
      <c r="C110" s="42" t="str">
        <f>IF(OR(Overview!$D$33="",Overview!$E$33=""),"",IF(Overview!$D$33+98&gt;Overview!$E$33,"",Overview!$D$33+98))</f>
        <v/>
      </c>
      <c r="D110" s="43" t="str">
        <f t="shared" ca="1" si="13"/>
        <v/>
      </c>
      <c r="E110" s="43" t="str">
        <f t="shared" ca="1" si="13"/>
        <v/>
      </c>
      <c r="F110" s="43" t="str">
        <f t="shared" ca="1" si="13"/>
        <v/>
      </c>
      <c r="G110" s="43" t="str">
        <f t="shared" ca="1" si="13"/>
        <v/>
      </c>
      <c r="H110" s="43" t="str">
        <f t="shared" ca="1" si="13"/>
        <v/>
      </c>
      <c r="I110" s="43" t="str">
        <f t="shared" ca="1" si="13"/>
        <v/>
      </c>
      <c r="J110" s="43" t="str">
        <f t="shared" ca="1" si="13"/>
        <v/>
      </c>
      <c r="K110" s="43" t="str">
        <f t="shared" ca="1" si="13"/>
        <v/>
      </c>
      <c r="L110" s="43" t="str">
        <f t="shared" ca="1" si="13"/>
        <v/>
      </c>
      <c r="M110" s="43" t="str">
        <f t="shared" ca="1" si="13"/>
        <v/>
      </c>
      <c r="N110" s="43" t="str">
        <f t="shared" ca="1" si="13"/>
        <v/>
      </c>
      <c r="O110" s="43" t="str">
        <f t="shared" ca="1" si="13"/>
        <v/>
      </c>
      <c r="P110" s="43" t="str">
        <f t="shared" ca="1" si="13"/>
        <v/>
      </c>
      <c r="Q110" s="43" t="str">
        <f t="shared" ca="1" si="13"/>
        <v/>
      </c>
      <c r="R110" s="43" t="str">
        <f t="shared" ca="1" si="13"/>
        <v/>
      </c>
      <c r="S110" s="44" t="str">
        <f t="shared" si="9"/>
        <v/>
      </c>
      <c r="T110" s="43" t="str">
        <f>IF($C110="","",SUMIFS(Overview!$G$18:$G$32,Overview!$D$18:$D$32,"&lt;="&amp;$C110,Overview!$E$18:$E$32,"&gt;="&amp;$C110))</f>
        <v/>
      </c>
      <c r="U110" s="43" t="str">
        <f ca="1">IF(OR($C110="",Overview!$I$33=""),"",IF($C110&gt;Overview!$I$33,"",SUM($S$12:S110)))</f>
        <v/>
      </c>
      <c r="V110" s="43" t="str">
        <f>IF($C110="","",SUM($T$12:T110))</f>
        <v/>
      </c>
      <c r="W110" s="45" t="str">
        <f t="shared" ca="1" si="10"/>
        <v/>
      </c>
    </row>
    <row r="111" spans="3:23" x14ac:dyDescent="0.35">
      <c r="C111" s="42" t="str">
        <f>IF(OR(Overview!$D$33="",Overview!$E$33=""),"",IF(Overview!$D$33+99&gt;Overview!$E$33,"",Overview!$D$33+99))</f>
        <v/>
      </c>
      <c r="D111" s="43" t="str">
        <f t="shared" ca="1" si="13"/>
        <v/>
      </c>
      <c r="E111" s="43" t="str">
        <f t="shared" ca="1" si="13"/>
        <v/>
      </c>
      <c r="F111" s="43" t="str">
        <f t="shared" ca="1" si="13"/>
        <v/>
      </c>
      <c r="G111" s="43" t="str">
        <f t="shared" ca="1" si="13"/>
        <v/>
      </c>
      <c r="H111" s="43" t="str">
        <f t="shared" ca="1" si="13"/>
        <v/>
      </c>
      <c r="I111" s="43" t="str">
        <f t="shared" ca="1" si="13"/>
        <v/>
      </c>
      <c r="J111" s="43" t="str">
        <f t="shared" ca="1" si="13"/>
        <v/>
      </c>
      <c r="K111" s="43" t="str">
        <f t="shared" ca="1" si="13"/>
        <v/>
      </c>
      <c r="L111" s="43" t="str">
        <f t="shared" ca="1" si="13"/>
        <v/>
      </c>
      <c r="M111" s="43" t="str">
        <f t="shared" ca="1" si="13"/>
        <v/>
      </c>
      <c r="N111" s="43" t="str">
        <f t="shared" ca="1" si="13"/>
        <v/>
      </c>
      <c r="O111" s="43" t="str">
        <f t="shared" ca="1" si="13"/>
        <v/>
      </c>
      <c r="P111" s="43" t="str">
        <f t="shared" ca="1" si="13"/>
        <v/>
      </c>
      <c r="Q111" s="43" t="str">
        <f t="shared" ca="1" si="13"/>
        <v/>
      </c>
      <c r="R111" s="43" t="str">
        <f t="shared" ca="1" si="13"/>
        <v/>
      </c>
      <c r="S111" s="44" t="str">
        <f t="shared" si="9"/>
        <v/>
      </c>
      <c r="T111" s="43" t="str">
        <f>IF($C111="","",SUMIFS(Overview!$G$18:$G$32,Overview!$D$18:$D$32,"&lt;="&amp;$C111,Overview!$E$18:$E$32,"&gt;="&amp;$C111))</f>
        <v/>
      </c>
      <c r="U111" s="43" t="str">
        <f ca="1">IF(OR($C111="",Overview!$I$33=""),"",IF($C111&gt;Overview!$I$33,"",SUM($S$12:S111)))</f>
        <v/>
      </c>
      <c r="V111" s="43" t="str">
        <f>IF($C111="","",SUM($T$12:T111))</f>
        <v/>
      </c>
      <c r="W111" s="45" t="str">
        <f t="shared" ca="1" si="10"/>
        <v/>
      </c>
    </row>
    <row r="112" spans="3:23" x14ac:dyDescent="0.35">
      <c r="C112" s="42" t="str">
        <f>IF(OR(Overview!$D$33="",Overview!$E$33=""),"",IF(Overview!$D$33+100&gt;Overview!$E$33,"",Overview!$D$33+100))</f>
        <v/>
      </c>
      <c r="D112" s="43" t="str">
        <f t="shared" ref="D112:R121" ca="1" si="14">IF(OR($C112="",D$11=""),"",IFERROR(SUMIFS(INDIRECT("'"&amp;D$11&amp;"'!$F$14:$F$10013"),INDIRECT("'"&amp;D$11&amp;"'!$C$14:$C$10013"),$C112),""))</f>
        <v/>
      </c>
      <c r="E112" s="43" t="str">
        <f t="shared" ca="1" si="14"/>
        <v/>
      </c>
      <c r="F112" s="43" t="str">
        <f t="shared" ca="1" si="14"/>
        <v/>
      </c>
      <c r="G112" s="43" t="str">
        <f t="shared" ca="1" si="14"/>
        <v/>
      </c>
      <c r="H112" s="43" t="str">
        <f t="shared" ca="1" si="14"/>
        <v/>
      </c>
      <c r="I112" s="43" t="str">
        <f t="shared" ca="1" si="14"/>
        <v/>
      </c>
      <c r="J112" s="43" t="str">
        <f t="shared" ca="1" si="14"/>
        <v/>
      </c>
      <c r="K112" s="43" t="str">
        <f t="shared" ca="1" si="14"/>
        <v/>
      </c>
      <c r="L112" s="43" t="str">
        <f t="shared" ca="1" si="14"/>
        <v/>
      </c>
      <c r="M112" s="43" t="str">
        <f t="shared" ca="1" si="14"/>
        <v/>
      </c>
      <c r="N112" s="43" t="str">
        <f t="shared" ca="1" si="14"/>
        <v/>
      </c>
      <c r="O112" s="43" t="str">
        <f t="shared" ca="1" si="14"/>
        <v/>
      </c>
      <c r="P112" s="43" t="str">
        <f t="shared" ca="1" si="14"/>
        <v/>
      </c>
      <c r="Q112" s="43" t="str">
        <f t="shared" ca="1" si="14"/>
        <v/>
      </c>
      <c r="R112" s="43" t="str">
        <f t="shared" ca="1" si="14"/>
        <v/>
      </c>
      <c r="S112" s="44" t="str">
        <f t="shared" si="9"/>
        <v/>
      </c>
      <c r="T112" s="43" t="str">
        <f>IF($C112="","",SUMIFS(Overview!$G$18:$G$32,Overview!$D$18:$D$32,"&lt;="&amp;$C112,Overview!$E$18:$E$32,"&gt;="&amp;$C112))</f>
        <v/>
      </c>
      <c r="U112" s="43" t="str">
        <f ca="1">IF(OR($C112="",Overview!$I$33=""),"",IF($C112&gt;Overview!$I$33,"",SUM($S$12:S112)))</f>
        <v/>
      </c>
      <c r="V112" s="43" t="str">
        <f>IF($C112="","",SUM($T$12:T112))</f>
        <v/>
      </c>
      <c r="W112" s="45" t="str">
        <f t="shared" ca="1" si="10"/>
        <v/>
      </c>
    </row>
    <row r="113" spans="3:23" x14ac:dyDescent="0.35">
      <c r="C113" s="42" t="str">
        <f>IF(OR(Overview!$D$33="",Overview!$E$33=""),"",IF(Overview!$D$33+101&gt;Overview!$E$33,"",Overview!$D$33+101))</f>
        <v/>
      </c>
      <c r="D113" s="43" t="str">
        <f t="shared" ca="1" si="14"/>
        <v/>
      </c>
      <c r="E113" s="43" t="str">
        <f t="shared" ca="1" si="14"/>
        <v/>
      </c>
      <c r="F113" s="43" t="str">
        <f t="shared" ca="1" si="14"/>
        <v/>
      </c>
      <c r="G113" s="43" t="str">
        <f t="shared" ca="1" si="14"/>
        <v/>
      </c>
      <c r="H113" s="43" t="str">
        <f t="shared" ca="1" si="14"/>
        <v/>
      </c>
      <c r="I113" s="43" t="str">
        <f t="shared" ca="1" si="14"/>
        <v/>
      </c>
      <c r="J113" s="43" t="str">
        <f t="shared" ca="1" si="14"/>
        <v/>
      </c>
      <c r="K113" s="43" t="str">
        <f t="shared" ca="1" si="14"/>
        <v/>
      </c>
      <c r="L113" s="43" t="str">
        <f t="shared" ca="1" si="14"/>
        <v/>
      </c>
      <c r="M113" s="43" t="str">
        <f t="shared" ca="1" si="14"/>
        <v/>
      </c>
      <c r="N113" s="43" t="str">
        <f t="shared" ca="1" si="14"/>
        <v/>
      </c>
      <c r="O113" s="43" t="str">
        <f t="shared" ca="1" si="14"/>
        <v/>
      </c>
      <c r="P113" s="43" t="str">
        <f t="shared" ca="1" si="14"/>
        <v/>
      </c>
      <c r="Q113" s="43" t="str">
        <f t="shared" ca="1" si="14"/>
        <v/>
      </c>
      <c r="R113" s="43" t="str">
        <f t="shared" ca="1" si="14"/>
        <v/>
      </c>
      <c r="S113" s="44" t="str">
        <f t="shared" si="9"/>
        <v/>
      </c>
      <c r="T113" s="43" t="str">
        <f>IF($C113="","",SUMIFS(Overview!$G$18:$G$32,Overview!$D$18:$D$32,"&lt;="&amp;$C113,Overview!$E$18:$E$32,"&gt;="&amp;$C113))</f>
        <v/>
      </c>
      <c r="U113" s="43" t="str">
        <f ca="1">IF(OR($C113="",Overview!$I$33=""),"",IF($C113&gt;Overview!$I$33,"",SUM($S$12:S113)))</f>
        <v/>
      </c>
      <c r="V113" s="43" t="str">
        <f>IF($C113="","",SUM($T$12:T113))</f>
        <v/>
      </c>
      <c r="W113" s="45" t="str">
        <f t="shared" ca="1" si="10"/>
        <v/>
      </c>
    </row>
    <row r="114" spans="3:23" x14ac:dyDescent="0.35">
      <c r="C114" s="42" t="str">
        <f>IF(OR(Overview!$D$33="",Overview!$E$33=""),"",IF(Overview!$D$33+102&gt;Overview!$E$33,"",Overview!$D$33+102))</f>
        <v/>
      </c>
      <c r="D114" s="43" t="str">
        <f t="shared" ca="1" si="14"/>
        <v/>
      </c>
      <c r="E114" s="43" t="str">
        <f t="shared" ca="1" si="14"/>
        <v/>
      </c>
      <c r="F114" s="43" t="str">
        <f t="shared" ca="1" si="14"/>
        <v/>
      </c>
      <c r="G114" s="43" t="str">
        <f t="shared" ca="1" si="14"/>
        <v/>
      </c>
      <c r="H114" s="43" t="str">
        <f t="shared" ca="1" si="14"/>
        <v/>
      </c>
      <c r="I114" s="43" t="str">
        <f t="shared" ca="1" si="14"/>
        <v/>
      </c>
      <c r="J114" s="43" t="str">
        <f t="shared" ca="1" si="14"/>
        <v/>
      </c>
      <c r="K114" s="43" t="str">
        <f t="shared" ca="1" si="14"/>
        <v/>
      </c>
      <c r="L114" s="43" t="str">
        <f t="shared" ca="1" si="14"/>
        <v/>
      </c>
      <c r="M114" s="43" t="str">
        <f t="shared" ca="1" si="14"/>
        <v/>
      </c>
      <c r="N114" s="43" t="str">
        <f t="shared" ca="1" si="14"/>
        <v/>
      </c>
      <c r="O114" s="43" t="str">
        <f t="shared" ca="1" si="14"/>
        <v/>
      </c>
      <c r="P114" s="43" t="str">
        <f t="shared" ca="1" si="14"/>
        <v/>
      </c>
      <c r="Q114" s="43" t="str">
        <f t="shared" ca="1" si="14"/>
        <v/>
      </c>
      <c r="R114" s="43" t="str">
        <f t="shared" ca="1" si="14"/>
        <v/>
      </c>
      <c r="S114" s="44" t="str">
        <f t="shared" si="9"/>
        <v/>
      </c>
      <c r="T114" s="43" t="str">
        <f>IF($C114="","",SUMIFS(Overview!$G$18:$G$32,Overview!$D$18:$D$32,"&lt;="&amp;$C114,Overview!$E$18:$E$32,"&gt;="&amp;$C114))</f>
        <v/>
      </c>
      <c r="U114" s="43" t="str">
        <f ca="1">IF(OR($C114="",Overview!$I$33=""),"",IF($C114&gt;Overview!$I$33,"",SUM($S$12:S114)))</f>
        <v/>
      </c>
      <c r="V114" s="43" t="str">
        <f>IF($C114="","",SUM($T$12:T114))</f>
        <v/>
      </c>
      <c r="W114" s="45" t="str">
        <f t="shared" ca="1" si="10"/>
        <v/>
      </c>
    </row>
    <row r="115" spans="3:23" x14ac:dyDescent="0.35">
      <c r="C115" s="42" t="str">
        <f>IF(OR(Overview!$D$33="",Overview!$E$33=""),"",IF(Overview!$D$33+103&gt;Overview!$E$33,"",Overview!$D$33+103))</f>
        <v/>
      </c>
      <c r="D115" s="43" t="str">
        <f t="shared" ca="1" si="14"/>
        <v/>
      </c>
      <c r="E115" s="43" t="str">
        <f t="shared" ca="1" si="14"/>
        <v/>
      </c>
      <c r="F115" s="43" t="str">
        <f t="shared" ca="1" si="14"/>
        <v/>
      </c>
      <c r="G115" s="43" t="str">
        <f t="shared" ca="1" si="14"/>
        <v/>
      </c>
      <c r="H115" s="43" t="str">
        <f t="shared" ca="1" si="14"/>
        <v/>
      </c>
      <c r="I115" s="43" t="str">
        <f t="shared" ca="1" si="14"/>
        <v/>
      </c>
      <c r="J115" s="43" t="str">
        <f t="shared" ca="1" si="14"/>
        <v/>
      </c>
      <c r="K115" s="43" t="str">
        <f t="shared" ca="1" si="14"/>
        <v/>
      </c>
      <c r="L115" s="43" t="str">
        <f t="shared" ca="1" si="14"/>
        <v/>
      </c>
      <c r="M115" s="43" t="str">
        <f t="shared" ca="1" si="14"/>
        <v/>
      </c>
      <c r="N115" s="43" t="str">
        <f t="shared" ca="1" si="14"/>
        <v/>
      </c>
      <c r="O115" s="43" t="str">
        <f t="shared" ca="1" si="14"/>
        <v/>
      </c>
      <c r="P115" s="43" t="str">
        <f t="shared" ca="1" si="14"/>
        <v/>
      </c>
      <c r="Q115" s="43" t="str">
        <f t="shared" ca="1" si="14"/>
        <v/>
      </c>
      <c r="R115" s="43" t="str">
        <f t="shared" ca="1" si="14"/>
        <v/>
      </c>
      <c r="S115" s="44" t="str">
        <f t="shared" si="9"/>
        <v/>
      </c>
      <c r="T115" s="43" t="str">
        <f>IF($C115="","",SUMIFS(Overview!$G$18:$G$32,Overview!$D$18:$D$32,"&lt;="&amp;$C115,Overview!$E$18:$E$32,"&gt;="&amp;$C115))</f>
        <v/>
      </c>
      <c r="U115" s="43" t="str">
        <f ca="1">IF(OR($C115="",Overview!$I$33=""),"",IF($C115&gt;Overview!$I$33,"",SUM($S$12:S115)))</f>
        <v/>
      </c>
      <c r="V115" s="43" t="str">
        <f>IF($C115="","",SUM($T$12:T115))</f>
        <v/>
      </c>
      <c r="W115" s="45" t="str">
        <f t="shared" ca="1" si="10"/>
        <v/>
      </c>
    </row>
    <row r="116" spans="3:23" x14ac:dyDescent="0.35">
      <c r="C116" s="42" t="str">
        <f>IF(OR(Overview!$D$33="",Overview!$E$33=""),"",IF(Overview!$D$33+104&gt;Overview!$E$33,"",Overview!$D$33+104))</f>
        <v/>
      </c>
      <c r="D116" s="43" t="str">
        <f t="shared" ca="1" si="14"/>
        <v/>
      </c>
      <c r="E116" s="43" t="str">
        <f t="shared" ca="1" si="14"/>
        <v/>
      </c>
      <c r="F116" s="43" t="str">
        <f t="shared" ca="1" si="14"/>
        <v/>
      </c>
      <c r="G116" s="43" t="str">
        <f t="shared" ca="1" si="14"/>
        <v/>
      </c>
      <c r="H116" s="43" t="str">
        <f t="shared" ca="1" si="14"/>
        <v/>
      </c>
      <c r="I116" s="43" t="str">
        <f t="shared" ca="1" si="14"/>
        <v/>
      </c>
      <c r="J116" s="43" t="str">
        <f t="shared" ca="1" si="14"/>
        <v/>
      </c>
      <c r="K116" s="43" t="str">
        <f t="shared" ca="1" si="14"/>
        <v/>
      </c>
      <c r="L116" s="43" t="str">
        <f t="shared" ca="1" si="14"/>
        <v/>
      </c>
      <c r="M116" s="43" t="str">
        <f t="shared" ca="1" si="14"/>
        <v/>
      </c>
      <c r="N116" s="43" t="str">
        <f t="shared" ca="1" si="14"/>
        <v/>
      </c>
      <c r="O116" s="43" t="str">
        <f t="shared" ca="1" si="14"/>
        <v/>
      </c>
      <c r="P116" s="43" t="str">
        <f t="shared" ca="1" si="14"/>
        <v/>
      </c>
      <c r="Q116" s="43" t="str">
        <f t="shared" ca="1" si="14"/>
        <v/>
      </c>
      <c r="R116" s="43" t="str">
        <f t="shared" ca="1" si="14"/>
        <v/>
      </c>
      <c r="S116" s="44" t="str">
        <f t="shared" si="9"/>
        <v/>
      </c>
      <c r="T116" s="43" t="str">
        <f>IF($C116="","",SUMIFS(Overview!$G$18:$G$32,Overview!$D$18:$D$32,"&lt;="&amp;$C116,Overview!$E$18:$E$32,"&gt;="&amp;$C116))</f>
        <v/>
      </c>
      <c r="U116" s="43" t="str">
        <f ca="1">IF(OR($C116="",Overview!$I$33=""),"",IF($C116&gt;Overview!$I$33,"",SUM($S$12:S116)))</f>
        <v/>
      </c>
      <c r="V116" s="43" t="str">
        <f>IF($C116="","",SUM($T$12:T116))</f>
        <v/>
      </c>
      <c r="W116" s="45" t="str">
        <f t="shared" ca="1" si="10"/>
        <v/>
      </c>
    </row>
    <row r="117" spans="3:23" x14ac:dyDescent="0.35">
      <c r="C117" s="42" t="str">
        <f>IF(OR(Overview!$D$33="",Overview!$E$33=""),"",IF(Overview!$D$33+105&gt;Overview!$E$33,"",Overview!$D$33+105))</f>
        <v/>
      </c>
      <c r="D117" s="43" t="str">
        <f t="shared" ca="1" si="14"/>
        <v/>
      </c>
      <c r="E117" s="43" t="str">
        <f t="shared" ca="1" si="14"/>
        <v/>
      </c>
      <c r="F117" s="43" t="str">
        <f t="shared" ca="1" si="14"/>
        <v/>
      </c>
      <c r="G117" s="43" t="str">
        <f t="shared" ca="1" si="14"/>
        <v/>
      </c>
      <c r="H117" s="43" t="str">
        <f t="shared" ca="1" si="14"/>
        <v/>
      </c>
      <c r="I117" s="43" t="str">
        <f t="shared" ca="1" si="14"/>
        <v/>
      </c>
      <c r="J117" s="43" t="str">
        <f t="shared" ca="1" si="14"/>
        <v/>
      </c>
      <c r="K117" s="43" t="str">
        <f t="shared" ca="1" si="14"/>
        <v/>
      </c>
      <c r="L117" s="43" t="str">
        <f t="shared" ca="1" si="14"/>
        <v/>
      </c>
      <c r="M117" s="43" t="str">
        <f t="shared" ca="1" si="14"/>
        <v/>
      </c>
      <c r="N117" s="43" t="str">
        <f t="shared" ca="1" si="14"/>
        <v/>
      </c>
      <c r="O117" s="43" t="str">
        <f t="shared" ca="1" si="14"/>
        <v/>
      </c>
      <c r="P117" s="43" t="str">
        <f t="shared" ca="1" si="14"/>
        <v/>
      </c>
      <c r="Q117" s="43" t="str">
        <f t="shared" ca="1" si="14"/>
        <v/>
      </c>
      <c r="R117" s="43" t="str">
        <f t="shared" ca="1" si="14"/>
        <v/>
      </c>
      <c r="S117" s="44" t="str">
        <f t="shared" si="9"/>
        <v/>
      </c>
      <c r="T117" s="43" t="str">
        <f>IF($C117="","",SUMIFS(Overview!$G$18:$G$32,Overview!$D$18:$D$32,"&lt;="&amp;$C117,Overview!$E$18:$E$32,"&gt;="&amp;$C117))</f>
        <v/>
      </c>
      <c r="U117" s="43" t="str">
        <f ca="1">IF(OR($C117="",Overview!$I$33=""),"",IF($C117&gt;Overview!$I$33,"",SUM($S$12:S117)))</f>
        <v/>
      </c>
      <c r="V117" s="43" t="str">
        <f>IF($C117="","",SUM($T$12:T117))</f>
        <v/>
      </c>
      <c r="W117" s="45" t="str">
        <f t="shared" ca="1" si="10"/>
        <v/>
      </c>
    </row>
    <row r="118" spans="3:23" x14ac:dyDescent="0.35">
      <c r="C118" s="42" t="str">
        <f>IF(OR(Overview!$D$33="",Overview!$E$33=""),"",IF(Overview!$D$33+106&gt;Overview!$E$33,"",Overview!$D$33+106))</f>
        <v/>
      </c>
      <c r="D118" s="43" t="str">
        <f t="shared" ca="1" si="14"/>
        <v/>
      </c>
      <c r="E118" s="43" t="str">
        <f t="shared" ca="1" si="14"/>
        <v/>
      </c>
      <c r="F118" s="43" t="str">
        <f t="shared" ca="1" si="14"/>
        <v/>
      </c>
      <c r="G118" s="43" t="str">
        <f t="shared" ca="1" si="14"/>
        <v/>
      </c>
      <c r="H118" s="43" t="str">
        <f t="shared" ca="1" si="14"/>
        <v/>
      </c>
      <c r="I118" s="43" t="str">
        <f t="shared" ca="1" si="14"/>
        <v/>
      </c>
      <c r="J118" s="43" t="str">
        <f t="shared" ca="1" si="14"/>
        <v/>
      </c>
      <c r="K118" s="43" t="str">
        <f t="shared" ca="1" si="14"/>
        <v/>
      </c>
      <c r="L118" s="43" t="str">
        <f t="shared" ca="1" si="14"/>
        <v/>
      </c>
      <c r="M118" s="43" t="str">
        <f t="shared" ca="1" si="14"/>
        <v/>
      </c>
      <c r="N118" s="43" t="str">
        <f t="shared" ca="1" si="14"/>
        <v/>
      </c>
      <c r="O118" s="43" t="str">
        <f t="shared" ca="1" si="14"/>
        <v/>
      </c>
      <c r="P118" s="43" t="str">
        <f t="shared" ca="1" si="14"/>
        <v/>
      </c>
      <c r="Q118" s="43" t="str">
        <f t="shared" ca="1" si="14"/>
        <v/>
      </c>
      <c r="R118" s="43" t="str">
        <f t="shared" ca="1" si="14"/>
        <v/>
      </c>
      <c r="S118" s="44" t="str">
        <f t="shared" si="9"/>
        <v/>
      </c>
      <c r="T118" s="43" t="str">
        <f>IF($C118="","",SUMIFS(Overview!$G$18:$G$32,Overview!$D$18:$D$32,"&lt;="&amp;$C118,Overview!$E$18:$E$32,"&gt;="&amp;$C118))</f>
        <v/>
      </c>
      <c r="U118" s="43" t="str">
        <f ca="1">IF(OR($C118="",Overview!$I$33=""),"",IF($C118&gt;Overview!$I$33,"",SUM($S$12:S118)))</f>
        <v/>
      </c>
      <c r="V118" s="43" t="str">
        <f>IF($C118="","",SUM($T$12:T118))</f>
        <v/>
      </c>
      <c r="W118" s="45" t="str">
        <f t="shared" ca="1" si="10"/>
        <v/>
      </c>
    </row>
    <row r="119" spans="3:23" x14ac:dyDescent="0.35">
      <c r="C119" s="42" t="str">
        <f>IF(OR(Overview!$D$33="",Overview!$E$33=""),"",IF(Overview!$D$33+107&gt;Overview!$E$33,"",Overview!$D$33+107))</f>
        <v/>
      </c>
      <c r="D119" s="43" t="str">
        <f t="shared" ca="1" si="14"/>
        <v/>
      </c>
      <c r="E119" s="43" t="str">
        <f t="shared" ca="1" si="14"/>
        <v/>
      </c>
      <c r="F119" s="43" t="str">
        <f t="shared" ca="1" si="14"/>
        <v/>
      </c>
      <c r="G119" s="43" t="str">
        <f t="shared" ca="1" si="14"/>
        <v/>
      </c>
      <c r="H119" s="43" t="str">
        <f t="shared" ca="1" si="14"/>
        <v/>
      </c>
      <c r="I119" s="43" t="str">
        <f t="shared" ca="1" si="14"/>
        <v/>
      </c>
      <c r="J119" s="43" t="str">
        <f t="shared" ca="1" si="14"/>
        <v/>
      </c>
      <c r="K119" s="43" t="str">
        <f t="shared" ca="1" si="14"/>
        <v/>
      </c>
      <c r="L119" s="43" t="str">
        <f t="shared" ca="1" si="14"/>
        <v/>
      </c>
      <c r="M119" s="43" t="str">
        <f t="shared" ca="1" si="14"/>
        <v/>
      </c>
      <c r="N119" s="43" t="str">
        <f t="shared" ca="1" si="14"/>
        <v/>
      </c>
      <c r="O119" s="43" t="str">
        <f t="shared" ca="1" si="14"/>
        <v/>
      </c>
      <c r="P119" s="43" t="str">
        <f t="shared" ca="1" si="14"/>
        <v/>
      </c>
      <c r="Q119" s="43" t="str">
        <f t="shared" ca="1" si="14"/>
        <v/>
      </c>
      <c r="R119" s="43" t="str">
        <f t="shared" ca="1" si="14"/>
        <v/>
      </c>
      <c r="S119" s="44" t="str">
        <f t="shared" si="9"/>
        <v/>
      </c>
      <c r="T119" s="43" t="str">
        <f>IF($C119="","",SUMIFS(Overview!$G$18:$G$32,Overview!$D$18:$D$32,"&lt;="&amp;$C119,Overview!$E$18:$E$32,"&gt;="&amp;$C119))</f>
        <v/>
      </c>
      <c r="U119" s="43" t="str">
        <f ca="1">IF(OR($C119="",Overview!$I$33=""),"",IF($C119&gt;Overview!$I$33,"",SUM($S$12:S119)))</f>
        <v/>
      </c>
      <c r="V119" s="43" t="str">
        <f>IF($C119="","",SUM($T$12:T119))</f>
        <v/>
      </c>
      <c r="W119" s="45" t="str">
        <f t="shared" ca="1" si="10"/>
        <v/>
      </c>
    </row>
    <row r="120" spans="3:23" x14ac:dyDescent="0.35">
      <c r="C120" s="42" t="str">
        <f>IF(OR(Overview!$D$33="",Overview!$E$33=""),"",IF(Overview!$D$33+108&gt;Overview!$E$33,"",Overview!$D$33+108))</f>
        <v/>
      </c>
      <c r="D120" s="43" t="str">
        <f t="shared" ca="1" si="14"/>
        <v/>
      </c>
      <c r="E120" s="43" t="str">
        <f t="shared" ca="1" si="14"/>
        <v/>
      </c>
      <c r="F120" s="43" t="str">
        <f t="shared" ca="1" si="14"/>
        <v/>
      </c>
      <c r="G120" s="43" t="str">
        <f t="shared" ca="1" si="14"/>
        <v/>
      </c>
      <c r="H120" s="43" t="str">
        <f t="shared" ca="1" si="14"/>
        <v/>
      </c>
      <c r="I120" s="43" t="str">
        <f t="shared" ca="1" si="14"/>
        <v/>
      </c>
      <c r="J120" s="43" t="str">
        <f t="shared" ca="1" si="14"/>
        <v/>
      </c>
      <c r="K120" s="43" t="str">
        <f t="shared" ca="1" si="14"/>
        <v/>
      </c>
      <c r="L120" s="43" t="str">
        <f t="shared" ca="1" si="14"/>
        <v/>
      </c>
      <c r="M120" s="43" t="str">
        <f t="shared" ca="1" si="14"/>
        <v/>
      </c>
      <c r="N120" s="43" t="str">
        <f t="shared" ca="1" si="14"/>
        <v/>
      </c>
      <c r="O120" s="43" t="str">
        <f t="shared" ca="1" si="14"/>
        <v/>
      </c>
      <c r="P120" s="43" t="str">
        <f t="shared" ca="1" si="14"/>
        <v/>
      </c>
      <c r="Q120" s="43" t="str">
        <f t="shared" ca="1" si="14"/>
        <v/>
      </c>
      <c r="R120" s="43" t="str">
        <f t="shared" ca="1" si="14"/>
        <v/>
      </c>
      <c r="S120" s="44" t="str">
        <f t="shared" si="9"/>
        <v/>
      </c>
      <c r="T120" s="43" t="str">
        <f>IF($C120="","",SUMIFS(Overview!$G$18:$G$32,Overview!$D$18:$D$32,"&lt;="&amp;$C120,Overview!$E$18:$E$32,"&gt;="&amp;$C120))</f>
        <v/>
      </c>
      <c r="U120" s="43" t="str">
        <f ca="1">IF(OR($C120="",Overview!$I$33=""),"",IF($C120&gt;Overview!$I$33,"",SUM($S$12:S120)))</f>
        <v/>
      </c>
      <c r="V120" s="43" t="str">
        <f>IF($C120="","",SUM($T$12:T120))</f>
        <v/>
      </c>
      <c r="W120" s="45" t="str">
        <f t="shared" ca="1" si="10"/>
        <v/>
      </c>
    </row>
    <row r="121" spans="3:23" x14ac:dyDescent="0.35">
      <c r="C121" s="42" t="str">
        <f>IF(OR(Overview!$D$33="",Overview!$E$33=""),"",IF(Overview!$D$33+109&gt;Overview!$E$33,"",Overview!$D$33+109))</f>
        <v/>
      </c>
      <c r="D121" s="43" t="str">
        <f t="shared" ca="1" si="14"/>
        <v/>
      </c>
      <c r="E121" s="43" t="str">
        <f t="shared" ca="1" si="14"/>
        <v/>
      </c>
      <c r="F121" s="43" t="str">
        <f t="shared" ca="1" si="14"/>
        <v/>
      </c>
      <c r="G121" s="43" t="str">
        <f t="shared" ca="1" si="14"/>
        <v/>
      </c>
      <c r="H121" s="43" t="str">
        <f t="shared" ca="1" si="14"/>
        <v/>
      </c>
      <c r="I121" s="43" t="str">
        <f t="shared" ca="1" si="14"/>
        <v/>
      </c>
      <c r="J121" s="43" t="str">
        <f t="shared" ca="1" si="14"/>
        <v/>
      </c>
      <c r="K121" s="43" t="str">
        <f t="shared" ca="1" si="14"/>
        <v/>
      </c>
      <c r="L121" s="43" t="str">
        <f t="shared" ca="1" si="14"/>
        <v/>
      </c>
      <c r="M121" s="43" t="str">
        <f t="shared" ca="1" si="14"/>
        <v/>
      </c>
      <c r="N121" s="43" t="str">
        <f t="shared" ca="1" si="14"/>
        <v/>
      </c>
      <c r="O121" s="43" t="str">
        <f t="shared" ca="1" si="14"/>
        <v/>
      </c>
      <c r="P121" s="43" t="str">
        <f t="shared" ca="1" si="14"/>
        <v/>
      </c>
      <c r="Q121" s="43" t="str">
        <f t="shared" ca="1" si="14"/>
        <v/>
      </c>
      <c r="R121" s="43" t="str">
        <f t="shared" ca="1" si="14"/>
        <v/>
      </c>
      <c r="S121" s="44" t="str">
        <f t="shared" si="9"/>
        <v/>
      </c>
      <c r="T121" s="43" t="str">
        <f>IF($C121="","",SUMIFS(Overview!$G$18:$G$32,Overview!$D$18:$D$32,"&lt;="&amp;$C121,Overview!$E$18:$E$32,"&gt;="&amp;$C121))</f>
        <v/>
      </c>
      <c r="U121" s="43" t="str">
        <f ca="1">IF(OR($C121="",Overview!$I$33=""),"",IF($C121&gt;Overview!$I$33,"",SUM($S$12:S121)))</f>
        <v/>
      </c>
      <c r="V121" s="43" t="str">
        <f>IF($C121="","",SUM($T$12:T121))</f>
        <v/>
      </c>
      <c r="W121" s="45" t="str">
        <f t="shared" ca="1" si="10"/>
        <v/>
      </c>
    </row>
    <row r="122" spans="3:23" x14ac:dyDescent="0.35">
      <c r="C122" s="42" t="str">
        <f>IF(OR(Overview!$D$33="",Overview!$E$33=""),"",IF(Overview!$D$33+110&gt;Overview!$E$33,"",Overview!$D$33+110))</f>
        <v/>
      </c>
      <c r="D122" s="43" t="str">
        <f t="shared" ref="D122:R131" ca="1" si="15">IF(OR($C122="",D$11=""),"",IFERROR(SUMIFS(INDIRECT("'"&amp;D$11&amp;"'!$F$14:$F$10013"),INDIRECT("'"&amp;D$11&amp;"'!$C$14:$C$10013"),$C122),""))</f>
        <v/>
      </c>
      <c r="E122" s="43" t="str">
        <f t="shared" ca="1" si="15"/>
        <v/>
      </c>
      <c r="F122" s="43" t="str">
        <f t="shared" ca="1" si="15"/>
        <v/>
      </c>
      <c r="G122" s="43" t="str">
        <f t="shared" ca="1" si="15"/>
        <v/>
      </c>
      <c r="H122" s="43" t="str">
        <f t="shared" ca="1" si="15"/>
        <v/>
      </c>
      <c r="I122" s="43" t="str">
        <f t="shared" ca="1" si="15"/>
        <v/>
      </c>
      <c r="J122" s="43" t="str">
        <f t="shared" ca="1" si="15"/>
        <v/>
      </c>
      <c r="K122" s="43" t="str">
        <f t="shared" ca="1" si="15"/>
        <v/>
      </c>
      <c r="L122" s="43" t="str">
        <f t="shared" ca="1" si="15"/>
        <v/>
      </c>
      <c r="M122" s="43" t="str">
        <f t="shared" ca="1" si="15"/>
        <v/>
      </c>
      <c r="N122" s="43" t="str">
        <f t="shared" ca="1" si="15"/>
        <v/>
      </c>
      <c r="O122" s="43" t="str">
        <f t="shared" ca="1" si="15"/>
        <v/>
      </c>
      <c r="P122" s="43" t="str">
        <f t="shared" ca="1" si="15"/>
        <v/>
      </c>
      <c r="Q122" s="43" t="str">
        <f t="shared" ca="1" si="15"/>
        <v/>
      </c>
      <c r="R122" s="43" t="str">
        <f t="shared" ca="1" si="15"/>
        <v/>
      </c>
      <c r="S122" s="44" t="str">
        <f t="shared" si="9"/>
        <v/>
      </c>
      <c r="T122" s="43" t="str">
        <f>IF($C122="","",SUMIFS(Overview!$G$18:$G$32,Overview!$D$18:$D$32,"&lt;="&amp;$C122,Overview!$E$18:$E$32,"&gt;="&amp;$C122))</f>
        <v/>
      </c>
      <c r="U122" s="43" t="str">
        <f ca="1">IF(OR($C122="",Overview!$I$33=""),"",IF($C122&gt;Overview!$I$33,"",SUM($S$12:S122)))</f>
        <v/>
      </c>
      <c r="V122" s="43" t="str">
        <f>IF($C122="","",SUM($T$12:T122))</f>
        <v/>
      </c>
      <c r="W122" s="45" t="str">
        <f t="shared" ca="1" si="10"/>
        <v/>
      </c>
    </row>
    <row r="123" spans="3:23" x14ac:dyDescent="0.35">
      <c r="C123" s="42" t="str">
        <f>IF(OR(Overview!$D$33="",Overview!$E$33=""),"",IF(Overview!$D$33+111&gt;Overview!$E$33,"",Overview!$D$33+111))</f>
        <v/>
      </c>
      <c r="D123" s="43" t="str">
        <f t="shared" ca="1" si="15"/>
        <v/>
      </c>
      <c r="E123" s="43" t="str">
        <f t="shared" ca="1" si="15"/>
        <v/>
      </c>
      <c r="F123" s="43" t="str">
        <f t="shared" ca="1" si="15"/>
        <v/>
      </c>
      <c r="G123" s="43" t="str">
        <f t="shared" ca="1" si="15"/>
        <v/>
      </c>
      <c r="H123" s="43" t="str">
        <f t="shared" ca="1" si="15"/>
        <v/>
      </c>
      <c r="I123" s="43" t="str">
        <f t="shared" ca="1" si="15"/>
        <v/>
      </c>
      <c r="J123" s="43" t="str">
        <f t="shared" ca="1" si="15"/>
        <v/>
      </c>
      <c r="K123" s="43" t="str">
        <f t="shared" ca="1" si="15"/>
        <v/>
      </c>
      <c r="L123" s="43" t="str">
        <f t="shared" ca="1" si="15"/>
        <v/>
      </c>
      <c r="M123" s="43" t="str">
        <f t="shared" ca="1" si="15"/>
        <v/>
      </c>
      <c r="N123" s="43" t="str">
        <f t="shared" ca="1" si="15"/>
        <v/>
      </c>
      <c r="O123" s="43" t="str">
        <f t="shared" ca="1" si="15"/>
        <v/>
      </c>
      <c r="P123" s="43" t="str">
        <f t="shared" ca="1" si="15"/>
        <v/>
      </c>
      <c r="Q123" s="43" t="str">
        <f t="shared" ca="1" si="15"/>
        <v/>
      </c>
      <c r="R123" s="43" t="str">
        <f t="shared" ca="1" si="15"/>
        <v/>
      </c>
      <c r="S123" s="44" t="str">
        <f t="shared" si="9"/>
        <v/>
      </c>
      <c r="T123" s="43" t="str">
        <f>IF($C123="","",SUMIFS(Overview!$G$18:$G$32,Overview!$D$18:$D$32,"&lt;="&amp;$C123,Overview!$E$18:$E$32,"&gt;="&amp;$C123))</f>
        <v/>
      </c>
      <c r="U123" s="43" t="str">
        <f ca="1">IF(OR($C123="",Overview!$I$33=""),"",IF($C123&gt;Overview!$I$33,"",SUM($S$12:S123)))</f>
        <v/>
      </c>
      <c r="V123" s="43" t="str">
        <f>IF($C123="","",SUM($T$12:T123))</f>
        <v/>
      </c>
      <c r="W123" s="45" t="str">
        <f t="shared" ca="1" si="10"/>
        <v/>
      </c>
    </row>
    <row r="124" spans="3:23" x14ac:dyDescent="0.35">
      <c r="C124" s="42" t="str">
        <f>IF(OR(Overview!$D$33="",Overview!$E$33=""),"",IF(Overview!$D$33+112&gt;Overview!$E$33,"",Overview!$D$33+112))</f>
        <v/>
      </c>
      <c r="D124" s="43" t="str">
        <f t="shared" ca="1" si="15"/>
        <v/>
      </c>
      <c r="E124" s="43" t="str">
        <f t="shared" ca="1" si="15"/>
        <v/>
      </c>
      <c r="F124" s="43" t="str">
        <f t="shared" ca="1" si="15"/>
        <v/>
      </c>
      <c r="G124" s="43" t="str">
        <f t="shared" ca="1" si="15"/>
        <v/>
      </c>
      <c r="H124" s="43" t="str">
        <f t="shared" ca="1" si="15"/>
        <v/>
      </c>
      <c r="I124" s="43" t="str">
        <f t="shared" ca="1" si="15"/>
        <v/>
      </c>
      <c r="J124" s="43" t="str">
        <f t="shared" ca="1" si="15"/>
        <v/>
      </c>
      <c r="K124" s="43" t="str">
        <f t="shared" ca="1" si="15"/>
        <v/>
      </c>
      <c r="L124" s="43" t="str">
        <f t="shared" ca="1" si="15"/>
        <v/>
      </c>
      <c r="M124" s="43" t="str">
        <f t="shared" ca="1" si="15"/>
        <v/>
      </c>
      <c r="N124" s="43" t="str">
        <f t="shared" ca="1" si="15"/>
        <v/>
      </c>
      <c r="O124" s="43" t="str">
        <f t="shared" ca="1" si="15"/>
        <v/>
      </c>
      <c r="P124" s="43" t="str">
        <f t="shared" ca="1" si="15"/>
        <v/>
      </c>
      <c r="Q124" s="43" t="str">
        <f t="shared" ca="1" si="15"/>
        <v/>
      </c>
      <c r="R124" s="43" t="str">
        <f t="shared" ca="1" si="15"/>
        <v/>
      </c>
      <c r="S124" s="44" t="str">
        <f t="shared" si="9"/>
        <v/>
      </c>
      <c r="T124" s="43" t="str">
        <f>IF($C124="","",SUMIFS(Overview!$G$18:$G$32,Overview!$D$18:$D$32,"&lt;="&amp;$C124,Overview!$E$18:$E$32,"&gt;="&amp;$C124))</f>
        <v/>
      </c>
      <c r="U124" s="43" t="str">
        <f ca="1">IF(OR($C124="",Overview!$I$33=""),"",IF($C124&gt;Overview!$I$33,"",SUM($S$12:S124)))</f>
        <v/>
      </c>
      <c r="V124" s="43" t="str">
        <f>IF($C124="","",SUM($T$12:T124))</f>
        <v/>
      </c>
      <c r="W124" s="45" t="str">
        <f t="shared" ca="1" si="10"/>
        <v/>
      </c>
    </row>
    <row r="125" spans="3:23" x14ac:dyDescent="0.35">
      <c r="C125" s="42" t="str">
        <f>IF(OR(Overview!$D$33="",Overview!$E$33=""),"",IF(Overview!$D$33+113&gt;Overview!$E$33,"",Overview!$D$33+113))</f>
        <v/>
      </c>
      <c r="D125" s="43" t="str">
        <f t="shared" ca="1" si="15"/>
        <v/>
      </c>
      <c r="E125" s="43" t="str">
        <f t="shared" ca="1" si="15"/>
        <v/>
      </c>
      <c r="F125" s="43" t="str">
        <f t="shared" ca="1" si="15"/>
        <v/>
      </c>
      <c r="G125" s="43" t="str">
        <f t="shared" ca="1" si="15"/>
        <v/>
      </c>
      <c r="H125" s="43" t="str">
        <f t="shared" ca="1" si="15"/>
        <v/>
      </c>
      <c r="I125" s="43" t="str">
        <f t="shared" ca="1" si="15"/>
        <v/>
      </c>
      <c r="J125" s="43" t="str">
        <f t="shared" ca="1" si="15"/>
        <v/>
      </c>
      <c r="K125" s="43" t="str">
        <f t="shared" ca="1" si="15"/>
        <v/>
      </c>
      <c r="L125" s="43" t="str">
        <f t="shared" ca="1" si="15"/>
        <v/>
      </c>
      <c r="M125" s="43" t="str">
        <f t="shared" ca="1" si="15"/>
        <v/>
      </c>
      <c r="N125" s="43" t="str">
        <f t="shared" ca="1" si="15"/>
        <v/>
      </c>
      <c r="O125" s="43" t="str">
        <f t="shared" ca="1" si="15"/>
        <v/>
      </c>
      <c r="P125" s="43" t="str">
        <f t="shared" ca="1" si="15"/>
        <v/>
      </c>
      <c r="Q125" s="43" t="str">
        <f t="shared" ca="1" si="15"/>
        <v/>
      </c>
      <c r="R125" s="43" t="str">
        <f t="shared" ca="1" si="15"/>
        <v/>
      </c>
      <c r="S125" s="44" t="str">
        <f t="shared" si="9"/>
        <v/>
      </c>
      <c r="T125" s="43" t="str">
        <f>IF($C125="","",SUMIFS(Overview!$G$18:$G$32,Overview!$D$18:$D$32,"&lt;="&amp;$C125,Overview!$E$18:$E$32,"&gt;="&amp;$C125))</f>
        <v/>
      </c>
      <c r="U125" s="43" t="str">
        <f ca="1">IF(OR($C125="",Overview!$I$33=""),"",IF($C125&gt;Overview!$I$33,"",SUM($S$12:S125)))</f>
        <v/>
      </c>
      <c r="V125" s="43" t="str">
        <f>IF($C125="","",SUM($T$12:T125))</f>
        <v/>
      </c>
      <c r="W125" s="45" t="str">
        <f t="shared" ca="1" si="10"/>
        <v/>
      </c>
    </row>
    <row r="126" spans="3:23" x14ac:dyDescent="0.35">
      <c r="C126" s="42" t="str">
        <f>IF(OR(Overview!$D$33="",Overview!$E$33=""),"",IF(Overview!$D$33+114&gt;Overview!$E$33,"",Overview!$D$33+114))</f>
        <v/>
      </c>
      <c r="D126" s="43" t="str">
        <f t="shared" ca="1" si="15"/>
        <v/>
      </c>
      <c r="E126" s="43" t="str">
        <f t="shared" ca="1" si="15"/>
        <v/>
      </c>
      <c r="F126" s="43" t="str">
        <f t="shared" ca="1" si="15"/>
        <v/>
      </c>
      <c r="G126" s="43" t="str">
        <f t="shared" ca="1" si="15"/>
        <v/>
      </c>
      <c r="H126" s="43" t="str">
        <f t="shared" ca="1" si="15"/>
        <v/>
      </c>
      <c r="I126" s="43" t="str">
        <f t="shared" ca="1" si="15"/>
        <v/>
      </c>
      <c r="J126" s="43" t="str">
        <f t="shared" ca="1" si="15"/>
        <v/>
      </c>
      <c r="K126" s="43" t="str">
        <f t="shared" ca="1" si="15"/>
        <v/>
      </c>
      <c r="L126" s="43" t="str">
        <f t="shared" ca="1" si="15"/>
        <v/>
      </c>
      <c r="M126" s="43" t="str">
        <f t="shared" ca="1" si="15"/>
        <v/>
      </c>
      <c r="N126" s="43" t="str">
        <f t="shared" ca="1" si="15"/>
        <v/>
      </c>
      <c r="O126" s="43" t="str">
        <f t="shared" ca="1" si="15"/>
        <v/>
      </c>
      <c r="P126" s="43" t="str">
        <f t="shared" ca="1" si="15"/>
        <v/>
      </c>
      <c r="Q126" s="43" t="str">
        <f t="shared" ca="1" si="15"/>
        <v/>
      </c>
      <c r="R126" s="43" t="str">
        <f t="shared" ca="1" si="15"/>
        <v/>
      </c>
      <c r="S126" s="44" t="str">
        <f t="shared" si="9"/>
        <v/>
      </c>
      <c r="T126" s="43" t="str">
        <f>IF($C126="","",SUMIFS(Overview!$G$18:$G$32,Overview!$D$18:$D$32,"&lt;="&amp;$C126,Overview!$E$18:$E$32,"&gt;="&amp;$C126))</f>
        <v/>
      </c>
      <c r="U126" s="43" t="str">
        <f ca="1">IF(OR($C126="",Overview!$I$33=""),"",IF($C126&gt;Overview!$I$33,"",SUM($S$12:S126)))</f>
        <v/>
      </c>
      <c r="V126" s="43" t="str">
        <f>IF($C126="","",SUM($T$12:T126))</f>
        <v/>
      </c>
      <c r="W126" s="45" t="str">
        <f t="shared" ca="1" si="10"/>
        <v/>
      </c>
    </row>
    <row r="127" spans="3:23" x14ac:dyDescent="0.35">
      <c r="C127" s="42" t="str">
        <f>IF(OR(Overview!$D$33="",Overview!$E$33=""),"",IF(Overview!$D$33+115&gt;Overview!$E$33,"",Overview!$D$33+115))</f>
        <v/>
      </c>
      <c r="D127" s="43" t="str">
        <f t="shared" ca="1" si="15"/>
        <v/>
      </c>
      <c r="E127" s="43" t="str">
        <f t="shared" ca="1" si="15"/>
        <v/>
      </c>
      <c r="F127" s="43" t="str">
        <f t="shared" ca="1" si="15"/>
        <v/>
      </c>
      <c r="G127" s="43" t="str">
        <f t="shared" ca="1" si="15"/>
        <v/>
      </c>
      <c r="H127" s="43" t="str">
        <f t="shared" ca="1" si="15"/>
        <v/>
      </c>
      <c r="I127" s="43" t="str">
        <f t="shared" ca="1" si="15"/>
        <v/>
      </c>
      <c r="J127" s="43" t="str">
        <f t="shared" ca="1" si="15"/>
        <v/>
      </c>
      <c r="K127" s="43" t="str">
        <f t="shared" ca="1" si="15"/>
        <v/>
      </c>
      <c r="L127" s="43" t="str">
        <f t="shared" ca="1" si="15"/>
        <v/>
      </c>
      <c r="M127" s="43" t="str">
        <f t="shared" ca="1" si="15"/>
        <v/>
      </c>
      <c r="N127" s="43" t="str">
        <f t="shared" ca="1" si="15"/>
        <v/>
      </c>
      <c r="O127" s="43" t="str">
        <f t="shared" ca="1" si="15"/>
        <v/>
      </c>
      <c r="P127" s="43" t="str">
        <f t="shared" ca="1" si="15"/>
        <v/>
      </c>
      <c r="Q127" s="43" t="str">
        <f t="shared" ca="1" si="15"/>
        <v/>
      </c>
      <c r="R127" s="43" t="str">
        <f t="shared" ca="1" si="15"/>
        <v/>
      </c>
      <c r="S127" s="44" t="str">
        <f t="shared" si="9"/>
        <v/>
      </c>
      <c r="T127" s="43" t="str">
        <f>IF($C127="","",SUMIFS(Overview!$G$18:$G$32,Overview!$D$18:$D$32,"&lt;="&amp;$C127,Overview!$E$18:$E$32,"&gt;="&amp;$C127))</f>
        <v/>
      </c>
      <c r="U127" s="43" t="str">
        <f ca="1">IF(OR($C127="",Overview!$I$33=""),"",IF($C127&gt;Overview!$I$33,"",SUM($S$12:S127)))</f>
        <v/>
      </c>
      <c r="V127" s="43" t="str">
        <f>IF($C127="","",SUM($T$12:T127))</f>
        <v/>
      </c>
      <c r="W127" s="45" t="str">
        <f t="shared" ca="1" si="10"/>
        <v/>
      </c>
    </row>
    <row r="128" spans="3:23" x14ac:dyDescent="0.35">
      <c r="C128" s="42" t="str">
        <f>IF(OR(Overview!$D$33="",Overview!$E$33=""),"",IF(Overview!$D$33+116&gt;Overview!$E$33,"",Overview!$D$33+116))</f>
        <v/>
      </c>
      <c r="D128" s="43" t="str">
        <f t="shared" ca="1" si="15"/>
        <v/>
      </c>
      <c r="E128" s="43" t="str">
        <f t="shared" ca="1" si="15"/>
        <v/>
      </c>
      <c r="F128" s="43" t="str">
        <f t="shared" ca="1" si="15"/>
        <v/>
      </c>
      <c r="G128" s="43" t="str">
        <f t="shared" ca="1" si="15"/>
        <v/>
      </c>
      <c r="H128" s="43" t="str">
        <f t="shared" ca="1" si="15"/>
        <v/>
      </c>
      <c r="I128" s="43" t="str">
        <f t="shared" ca="1" si="15"/>
        <v/>
      </c>
      <c r="J128" s="43" t="str">
        <f t="shared" ca="1" si="15"/>
        <v/>
      </c>
      <c r="K128" s="43" t="str">
        <f t="shared" ca="1" si="15"/>
        <v/>
      </c>
      <c r="L128" s="43" t="str">
        <f t="shared" ca="1" si="15"/>
        <v/>
      </c>
      <c r="M128" s="43" t="str">
        <f t="shared" ca="1" si="15"/>
        <v/>
      </c>
      <c r="N128" s="43" t="str">
        <f t="shared" ca="1" si="15"/>
        <v/>
      </c>
      <c r="O128" s="43" t="str">
        <f t="shared" ca="1" si="15"/>
        <v/>
      </c>
      <c r="P128" s="43" t="str">
        <f t="shared" ca="1" si="15"/>
        <v/>
      </c>
      <c r="Q128" s="43" t="str">
        <f t="shared" ca="1" si="15"/>
        <v/>
      </c>
      <c r="R128" s="43" t="str">
        <f t="shared" ca="1" si="15"/>
        <v/>
      </c>
      <c r="S128" s="44" t="str">
        <f t="shared" si="9"/>
        <v/>
      </c>
      <c r="T128" s="43" t="str">
        <f>IF($C128="","",SUMIFS(Overview!$G$18:$G$32,Overview!$D$18:$D$32,"&lt;="&amp;$C128,Overview!$E$18:$E$32,"&gt;="&amp;$C128))</f>
        <v/>
      </c>
      <c r="U128" s="43" t="str">
        <f ca="1">IF(OR($C128="",Overview!$I$33=""),"",IF($C128&gt;Overview!$I$33,"",SUM($S$12:S128)))</f>
        <v/>
      </c>
      <c r="V128" s="43" t="str">
        <f>IF($C128="","",SUM($T$12:T128))</f>
        <v/>
      </c>
      <c r="W128" s="45" t="str">
        <f t="shared" ca="1" si="10"/>
        <v/>
      </c>
    </row>
    <row r="129" spans="3:23" x14ac:dyDescent="0.35">
      <c r="C129" s="42" t="str">
        <f>IF(OR(Overview!$D$33="",Overview!$E$33=""),"",IF(Overview!$D$33+117&gt;Overview!$E$33,"",Overview!$D$33+117))</f>
        <v/>
      </c>
      <c r="D129" s="43" t="str">
        <f t="shared" ca="1" si="15"/>
        <v/>
      </c>
      <c r="E129" s="43" t="str">
        <f t="shared" ca="1" si="15"/>
        <v/>
      </c>
      <c r="F129" s="43" t="str">
        <f t="shared" ca="1" si="15"/>
        <v/>
      </c>
      <c r="G129" s="43" t="str">
        <f t="shared" ca="1" si="15"/>
        <v/>
      </c>
      <c r="H129" s="43" t="str">
        <f t="shared" ca="1" si="15"/>
        <v/>
      </c>
      <c r="I129" s="43" t="str">
        <f t="shared" ca="1" si="15"/>
        <v/>
      </c>
      <c r="J129" s="43" t="str">
        <f t="shared" ca="1" si="15"/>
        <v/>
      </c>
      <c r="K129" s="43" t="str">
        <f t="shared" ca="1" si="15"/>
        <v/>
      </c>
      <c r="L129" s="43" t="str">
        <f t="shared" ca="1" si="15"/>
        <v/>
      </c>
      <c r="M129" s="43" t="str">
        <f t="shared" ca="1" si="15"/>
        <v/>
      </c>
      <c r="N129" s="43" t="str">
        <f t="shared" ca="1" si="15"/>
        <v/>
      </c>
      <c r="O129" s="43" t="str">
        <f t="shared" ca="1" si="15"/>
        <v/>
      </c>
      <c r="P129" s="43" t="str">
        <f t="shared" ca="1" si="15"/>
        <v/>
      </c>
      <c r="Q129" s="43" t="str">
        <f t="shared" ca="1" si="15"/>
        <v/>
      </c>
      <c r="R129" s="43" t="str">
        <f t="shared" ca="1" si="15"/>
        <v/>
      </c>
      <c r="S129" s="44" t="str">
        <f t="shared" si="9"/>
        <v/>
      </c>
      <c r="T129" s="43" t="str">
        <f>IF($C129="","",SUMIFS(Overview!$G$18:$G$32,Overview!$D$18:$D$32,"&lt;="&amp;$C129,Overview!$E$18:$E$32,"&gt;="&amp;$C129))</f>
        <v/>
      </c>
      <c r="U129" s="43" t="str">
        <f ca="1">IF(OR($C129="",Overview!$I$33=""),"",IF($C129&gt;Overview!$I$33,"",SUM($S$12:S129)))</f>
        <v/>
      </c>
      <c r="V129" s="43" t="str">
        <f>IF($C129="","",SUM($T$12:T129))</f>
        <v/>
      </c>
      <c r="W129" s="45" t="str">
        <f t="shared" ca="1" si="10"/>
        <v/>
      </c>
    </row>
    <row r="130" spans="3:23" x14ac:dyDescent="0.35">
      <c r="C130" s="42" t="str">
        <f>IF(OR(Overview!$D$33="",Overview!$E$33=""),"",IF(Overview!$D$33+118&gt;Overview!$E$33,"",Overview!$D$33+118))</f>
        <v/>
      </c>
      <c r="D130" s="43" t="str">
        <f t="shared" ca="1" si="15"/>
        <v/>
      </c>
      <c r="E130" s="43" t="str">
        <f t="shared" ca="1" si="15"/>
        <v/>
      </c>
      <c r="F130" s="43" t="str">
        <f t="shared" ca="1" si="15"/>
        <v/>
      </c>
      <c r="G130" s="43" t="str">
        <f t="shared" ca="1" si="15"/>
        <v/>
      </c>
      <c r="H130" s="43" t="str">
        <f t="shared" ca="1" si="15"/>
        <v/>
      </c>
      <c r="I130" s="43" t="str">
        <f t="shared" ca="1" si="15"/>
        <v/>
      </c>
      <c r="J130" s="43" t="str">
        <f t="shared" ca="1" si="15"/>
        <v/>
      </c>
      <c r="K130" s="43" t="str">
        <f t="shared" ca="1" si="15"/>
        <v/>
      </c>
      <c r="L130" s="43" t="str">
        <f t="shared" ca="1" si="15"/>
        <v/>
      </c>
      <c r="M130" s="43" t="str">
        <f t="shared" ca="1" si="15"/>
        <v/>
      </c>
      <c r="N130" s="43" t="str">
        <f t="shared" ca="1" si="15"/>
        <v/>
      </c>
      <c r="O130" s="43" t="str">
        <f t="shared" ca="1" si="15"/>
        <v/>
      </c>
      <c r="P130" s="43" t="str">
        <f t="shared" ca="1" si="15"/>
        <v/>
      </c>
      <c r="Q130" s="43" t="str">
        <f t="shared" ca="1" si="15"/>
        <v/>
      </c>
      <c r="R130" s="43" t="str">
        <f t="shared" ca="1" si="15"/>
        <v/>
      </c>
      <c r="S130" s="44" t="str">
        <f t="shared" si="9"/>
        <v/>
      </c>
      <c r="T130" s="43" t="str">
        <f>IF($C130="","",SUMIFS(Overview!$G$18:$G$32,Overview!$D$18:$D$32,"&lt;="&amp;$C130,Overview!$E$18:$E$32,"&gt;="&amp;$C130))</f>
        <v/>
      </c>
      <c r="U130" s="43" t="str">
        <f ca="1">IF(OR($C130="",Overview!$I$33=""),"",IF($C130&gt;Overview!$I$33,"",SUM($S$12:S130)))</f>
        <v/>
      </c>
      <c r="V130" s="43" t="str">
        <f>IF($C130="","",SUM($T$12:T130))</f>
        <v/>
      </c>
      <c r="W130" s="45" t="str">
        <f t="shared" ca="1" si="10"/>
        <v/>
      </c>
    </row>
    <row r="131" spans="3:23" x14ac:dyDescent="0.35">
      <c r="C131" s="42" t="str">
        <f>IF(OR(Overview!$D$33="",Overview!$E$33=""),"",IF(Overview!$D$33+119&gt;Overview!$E$33,"",Overview!$D$33+119))</f>
        <v/>
      </c>
      <c r="D131" s="43" t="str">
        <f t="shared" ca="1" si="15"/>
        <v/>
      </c>
      <c r="E131" s="43" t="str">
        <f t="shared" ca="1" si="15"/>
        <v/>
      </c>
      <c r="F131" s="43" t="str">
        <f t="shared" ca="1" si="15"/>
        <v/>
      </c>
      <c r="G131" s="43" t="str">
        <f t="shared" ca="1" si="15"/>
        <v/>
      </c>
      <c r="H131" s="43" t="str">
        <f t="shared" ca="1" si="15"/>
        <v/>
      </c>
      <c r="I131" s="43" t="str">
        <f t="shared" ca="1" si="15"/>
        <v/>
      </c>
      <c r="J131" s="43" t="str">
        <f t="shared" ca="1" si="15"/>
        <v/>
      </c>
      <c r="K131" s="43" t="str">
        <f t="shared" ca="1" si="15"/>
        <v/>
      </c>
      <c r="L131" s="43" t="str">
        <f t="shared" ca="1" si="15"/>
        <v/>
      </c>
      <c r="M131" s="43" t="str">
        <f t="shared" ca="1" si="15"/>
        <v/>
      </c>
      <c r="N131" s="43" t="str">
        <f t="shared" ca="1" si="15"/>
        <v/>
      </c>
      <c r="O131" s="43" t="str">
        <f t="shared" ca="1" si="15"/>
        <v/>
      </c>
      <c r="P131" s="43" t="str">
        <f t="shared" ca="1" si="15"/>
        <v/>
      </c>
      <c r="Q131" s="43" t="str">
        <f t="shared" ca="1" si="15"/>
        <v/>
      </c>
      <c r="R131" s="43" t="str">
        <f t="shared" ca="1" si="15"/>
        <v/>
      </c>
      <c r="S131" s="44" t="str">
        <f t="shared" si="9"/>
        <v/>
      </c>
      <c r="T131" s="43" t="str">
        <f>IF($C131="","",SUMIFS(Overview!$G$18:$G$32,Overview!$D$18:$D$32,"&lt;="&amp;$C131,Overview!$E$18:$E$32,"&gt;="&amp;$C131))</f>
        <v/>
      </c>
      <c r="U131" s="43" t="str">
        <f ca="1">IF(OR($C131="",Overview!$I$33=""),"",IF($C131&gt;Overview!$I$33,"",SUM($S$12:S131)))</f>
        <v/>
      </c>
      <c r="V131" s="43" t="str">
        <f>IF($C131="","",SUM($T$12:T131))</f>
        <v/>
      </c>
      <c r="W131" s="45" t="str">
        <f t="shared" ca="1" si="10"/>
        <v/>
      </c>
    </row>
    <row r="132" spans="3:23" x14ac:dyDescent="0.35">
      <c r="C132" s="42" t="str">
        <f>IF(OR(Overview!$D$33="",Overview!$E$33=""),"",IF(Overview!$D$33+120&gt;Overview!$E$33,"",Overview!$D$33+120))</f>
        <v/>
      </c>
      <c r="D132" s="43" t="str">
        <f t="shared" ref="D132:R141" ca="1" si="16">IF(OR($C132="",D$11=""),"",IFERROR(SUMIFS(INDIRECT("'"&amp;D$11&amp;"'!$F$14:$F$10013"),INDIRECT("'"&amp;D$11&amp;"'!$C$14:$C$10013"),$C132),""))</f>
        <v/>
      </c>
      <c r="E132" s="43" t="str">
        <f t="shared" ca="1" si="16"/>
        <v/>
      </c>
      <c r="F132" s="43" t="str">
        <f t="shared" ca="1" si="16"/>
        <v/>
      </c>
      <c r="G132" s="43" t="str">
        <f t="shared" ca="1" si="16"/>
        <v/>
      </c>
      <c r="H132" s="43" t="str">
        <f t="shared" ca="1" si="16"/>
        <v/>
      </c>
      <c r="I132" s="43" t="str">
        <f t="shared" ca="1" si="16"/>
        <v/>
      </c>
      <c r="J132" s="43" t="str">
        <f t="shared" ca="1" si="16"/>
        <v/>
      </c>
      <c r="K132" s="43" t="str">
        <f t="shared" ca="1" si="16"/>
        <v/>
      </c>
      <c r="L132" s="43" t="str">
        <f t="shared" ca="1" si="16"/>
        <v/>
      </c>
      <c r="M132" s="43" t="str">
        <f t="shared" ca="1" si="16"/>
        <v/>
      </c>
      <c r="N132" s="43" t="str">
        <f t="shared" ca="1" si="16"/>
        <v/>
      </c>
      <c r="O132" s="43" t="str">
        <f t="shared" ca="1" si="16"/>
        <v/>
      </c>
      <c r="P132" s="43" t="str">
        <f t="shared" ca="1" si="16"/>
        <v/>
      </c>
      <c r="Q132" s="43" t="str">
        <f t="shared" ca="1" si="16"/>
        <v/>
      </c>
      <c r="R132" s="43" t="str">
        <f t="shared" ca="1" si="16"/>
        <v/>
      </c>
      <c r="S132" s="44" t="str">
        <f t="shared" si="9"/>
        <v/>
      </c>
      <c r="T132" s="43" t="str">
        <f>IF($C132="","",SUMIFS(Overview!$G$18:$G$32,Overview!$D$18:$D$32,"&lt;="&amp;$C132,Overview!$E$18:$E$32,"&gt;="&amp;$C132))</f>
        <v/>
      </c>
      <c r="U132" s="43" t="str">
        <f ca="1">IF(OR($C132="",Overview!$I$33=""),"",IF($C132&gt;Overview!$I$33,"",SUM($S$12:S132)))</f>
        <v/>
      </c>
      <c r="V132" s="43" t="str">
        <f>IF($C132="","",SUM($T$12:T132))</f>
        <v/>
      </c>
      <c r="W132" s="45" t="str">
        <f t="shared" ca="1" si="10"/>
        <v/>
      </c>
    </row>
    <row r="133" spans="3:23" x14ac:dyDescent="0.35">
      <c r="C133" s="42" t="str">
        <f>IF(OR(Overview!$D$33="",Overview!$E$33=""),"",IF(Overview!$D$33+121&gt;Overview!$E$33,"",Overview!$D$33+121))</f>
        <v/>
      </c>
      <c r="D133" s="43" t="str">
        <f t="shared" ca="1" si="16"/>
        <v/>
      </c>
      <c r="E133" s="43" t="str">
        <f t="shared" ca="1" si="16"/>
        <v/>
      </c>
      <c r="F133" s="43" t="str">
        <f t="shared" ca="1" si="16"/>
        <v/>
      </c>
      <c r="G133" s="43" t="str">
        <f t="shared" ca="1" si="16"/>
        <v/>
      </c>
      <c r="H133" s="43" t="str">
        <f t="shared" ca="1" si="16"/>
        <v/>
      </c>
      <c r="I133" s="43" t="str">
        <f t="shared" ca="1" si="16"/>
        <v/>
      </c>
      <c r="J133" s="43" t="str">
        <f t="shared" ca="1" si="16"/>
        <v/>
      </c>
      <c r="K133" s="43" t="str">
        <f t="shared" ca="1" si="16"/>
        <v/>
      </c>
      <c r="L133" s="43" t="str">
        <f t="shared" ca="1" si="16"/>
        <v/>
      </c>
      <c r="M133" s="43" t="str">
        <f t="shared" ca="1" si="16"/>
        <v/>
      </c>
      <c r="N133" s="43" t="str">
        <f t="shared" ca="1" si="16"/>
        <v/>
      </c>
      <c r="O133" s="43" t="str">
        <f t="shared" ca="1" si="16"/>
        <v/>
      </c>
      <c r="P133" s="43" t="str">
        <f t="shared" ca="1" si="16"/>
        <v/>
      </c>
      <c r="Q133" s="43" t="str">
        <f t="shared" ca="1" si="16"/>
        <v/>
      </c>
      <c r="R133" s="43" t="str">
        <f t="shared" ca="1" si="16"/>
        <v/>
      </c>
      <c r="S133" s="44" t="str">
        <f t="shared" si="9"/>
        <v/>
      </c>
      <c r="T133" s="43" t="str">
        <f>IF($C133="","",SUMIFS(Overview!$G$18:$G$32,Overview!$D$18:$D$32,"&lt;="&amp;$C133,Overview!$E$18:$E$32,"&gt;="&amp;$C133))</f>
        <v/>
      </c>
      <c r="U133" s="43" t="str">
        <f ca="1">IF(OR($C133="",Overview!$I$33=""),"",IF($C133&gt;Overview!$I$33,"",SUM($S$12:S133)))</f>
        <v/>
      </c>
      <c r="V133" s="43" t="str">
        <f>IF($C133="","",SUM($T$12:T133))</f>
        <v/>
      </c>
      <c r="W133" s="45" t="str">
        <f t="shared" ca="1" si="10"/>
        <v/>
      </c>
    </row>
    <row r="134" spans="3:23" x14ac:dyDescent="0.35">
      <c r="C134" s="42" t="str">
        <f>IF(OR(Overview!$D$33="",Overview!$E$33=""),"",IF(Overview!$D$33+122&gt;Overview!$E$33,"",Overview!$D$33+122))</f>
        <v/>
      </c>
      <c r="D134" s="43" t="str">
        <f t="shared" ca="1" si="16"/>
        <v/>
      </c>
      <c r="E134" s="43" t="str">
        <f t="shared" ca="1" si="16"/>
        <v/>
      </c>
      <c r="F134" s="43" t="str">
        <f t="shared" ca="1" si="16"/>
        <v/>
      </c>
      <c r="G134" s="43" t="str">
        <f t="shared" ca="1" si="16"/>
        <v/>
      </c>
      <c r="H134" s="43" t="str">
        <f t="shared" ca="1" si="16"/>
        <v/>
      </c>
      <c r="I134" s="43" t="str">
        <f t="shared" ca="1" si="16"/>
        <v/>
      </c>
      <c r="J134" s="43" t="str">
        <f t="shared" ca="1" si="16"/>
        <v/>
      </c>
      <c r="K134" s="43" t="str">
        <f t="shared" ca="1" si="16"/>
        <v/>
      </c>
      <c r="L134" s="43" t="str">
        <f t="shared" ca="1" si="16"/>
        <v/>
      </c>
      <c r="M134" s="43" t="str">
        <f t="shared" ca="1" si="16"/>
        <v/>
      </c>
      <c r="N134" s="43" t="str">
        <f t="shared" ca="1" si="16"/>
        <v/>
      </c>
      <c r="O134" s="43" t="str">
        <f t="shared" ca="1" si="16"/>
        <v/>
      </c>
      <c r="P134" s="43" t="str">
        <f t="shared" ca="1" si="16"/>
        <v/>
      </c>
      <c r="Q134" s="43" t="str">
        <f t="shared" ca="1" si="16"/>
        <v/>
      </c>
      <c r="R134" s="43" t="str">
        <f t="shared" ca="1" si="16"/>
        <v/>
      </c>
      <c r="S134" s="44" t="str">
        <f t="shared" si="9"/>
        <v/>
      </c>
      <c r="T134" s="43" t="str">
        <f>IF($C134="","",SUMIFS(Overview!$G$18:$G$32,Overview!$D$18:$D$32,"&lt;="&amp;$C134,Overview!$E$18:$E$32,"&gt;="&amp;$C134))</f>
        <v/>
      </c>
      <c r="U134" s="43" t="str">
        <f ca="1">IF(OR($C134="",Overview!$I$33=""),"",IF($C134&gt;Overview!$I$33,"",SUM($S$12:S134)))</f>
        <v/>
      </c>
      <c r="V134" s="43" t="str">
        <f>IF($C134="","",SUM($T$12:T134))</f>
        <v/>
      </c>
      <c r="W134" s="45" t="str">
        <f t="shared" ca="1" si="10"/>
        <v/>
      </c>
    </row>
    <row r="135" spans="3:23" x14ac:dyDescent="0.35">
      <c r="C135" s="42" t="str">
        <f>IF(OR(Overview!$D$33="",Overview!$E$33=""),"",IF(Overview!$D$33+123&gt;Overview!$E$33,"",Overview!$D$33+123))</f>
        <v/>
      </c>
      <c r="D135" s="43" t="str">
        <f t="shared" ca="1" si="16"/>
        <v/>
      </c>
      <c r="E135" s="43" t="str">
        <f t="shared" ca="1" si="16"/>
        <v/>
      </c>
      <c r="F135" s="43" t="str">
        <f t="shared" ca="1" si="16"/>
        <v/>
      </c>
      <c r="G135" s="43" t="str">
        <f t="shared" ca="1" si="16"/>
        <v/>
      </c>
      <c r="H135" s="43" t="str">
        <f t="shared" ca="1" si="16"/>
        <v/>
      </c>
      <c r="I135" s="43" t="str">
        <f t="shared" ca="1" si="16"/>
        <v/>
      </c>
      <c r="J135" s="43" t="str">
        <f t="shared" ca="1" si="16"/>
        <v/>
      </c>
      <c r="K135" s="43" t="str">
        <f t="shared" ca="1" si="16"/>
        <v/>
      </c>
      <c r="L135" s="43" t="str">
        <f t="shared" ca="1" si="16"/>
        <v/>
      </c>
      <c r="M135" s="43" t="str">
        <f t="shared" ca="1" si="16"/>
        <v/>
      </c>
      <c r="N135" s="43" t="str">
        <f t="shared" ca="1" si="16"/>
        <v/>
      </c>
      <c r="O135" s="43" t="str">
        <f t="shared" ca="1" si="16"/>
        <v/>
      </c>
      <c r="P135" s="43" t="str">
        <f t="shared" ca="1" si="16"/>
        <v/>
      </c>
      <c r="Q135" s="43" t="str">
        <f t="shared" ca="1" si="16"/>
        <v/>
      </c>
      <c r="R135" s="43" t="str">
        <f t="shared" ca="1" si="16"/>
        <v/>
      </c>
      <c r="S135" s="44" t="str">
        <f t="shared" si="9"/>
        <v/>
      </c>
      <c r="T135" s="43" t="str">
        <f>IF($C135="","",SUMIFS(Overview!$G$18:$G$32,Overview!$D$18:$D$32,"&lt;="&amp;$C135,Overview!$E$18:$E$32,"&gt;="&amp;$C135))</f>
        <v/>
      </c>
      <c r="U135" s="43" t="str">
        <f ca="1">IF(OR($C135="",Overview!$I$33=""),"",IF($C135&gt;Overview!$I$33,"",SUM($S$12:S135)))</f>
        <v/>
      </c>
      <c r="V135" s="43" t="str">
        <f>IF($C135="","",SUM($T$12:T135))</f>
        <v/>
      </c>
      <c r="W135" s="45" t="str">
        <f t="shared" ca="1" si="10"/>
        <v/>
      </c>
    </row>
    <row r="136" spans="3:23" x14ac:dyDescent="0.35">
      <c r="C136" s="42" t="str">
        <f>IF(OR(Overview!$D$33="",Overview!$E$33=""),"",IF(Overview!$D$33+124&gt;Overview!$E$33,"",Overview!$D$33+124))</f>
        <v/>
      </c>
      <c r="D136" s="43" t="str">
        <f t="shared" ca="1" si="16"/>
        <v/>
      </c>
      <c r="E136" s="43" t="str">
        <f t="shared" ca="1" si="16"/>
        <v/>
      </c>
      <c r="F136" s="43" t="str">
        <f t="shared" ca="1" si="16"/>
        <v/>
      </c>
      <c r="G136" s="43" t="str">
        <f t="shared" ca="1" si="16"/>
        <v/>
      </c>
      <c r="H136" s="43" t="str">
        <f t="shared" ca="1" si="16"/>
        <v/>
      </c>
      <c r="I136" s="43" t="str">
        <f t="shared" ca="1" si="16"/>
        <v/>
      </c>
      <c r="J136" s="43" t="str">
        <f t="shared" ca="1" si="16"/>
        <v/>
      </c>
      <c r="K136" s="43" t="str">
        <f t="shared" ca="1" si="16"/>
        <v/>
      </c>
      <c r="L136" s="43" t="str">
        <f t="shared" ca="1" si="16"/>
        <v/>
      </c>
      <c r="M136" s="43" t="str">
        <f t="shared" ca="1" si="16"/>
        <v/>
      </c>
      <c r="N136" s="43" t="str">
        <f t="shared" ca="1" si="16"/>
        <v/>
      </c>
      <c r="O136" s="43" t="str">
        <f t="shared" ca="1" si="16"/>
        <v/>
      </c>
      <c r="P136" s="43" t="str">
        <f t="shared" ca="1" si="16"/>
        <v/>
      </c>
      <c r="Q136" s="43" t="str">
        <f t="shared" ca="1" si="16"/>
        <v/>
      </c>
      <c r="R136" s="43" t="str">
        <f t="shared" ca="1" si="16"/>
        <v/>
      </c>
      <c r="S136" s="44" t="str">
        <f t="shared" si="9"/>
        <v/>
      </c>
      <c r="T136" s="43" t="str">
        <f>IF($C136="","",SUMIFS(Overview!$G$18:$G$32,Overview!$D$18:$D$32,"&lt;="&amp;$C136,Overview!$E$18:$E$32,"&gt;="&amp;$C136))</f>
        <v/>
      </c>
      <c r="U136" s="43" t="str">
        <f ca="1">IF(OR($C136="",Overview!$I$33=""),"",IF($C136&gt;Overview!$I$33,"",SUM($S$12:S136)))</f>
        <v/>
      </c>
      <c r="V136" s="43" t="str">
        <f>IF($C136="","",SUM($T$12:T136))</f>
        <v/>
      </c>
      <c r="W136" s="45" t="str">
        <f t="shared" ca="1" si="10"/>
        <v/>
      </c>
    </row>
    <row r="137" spans="3:23" x14ac:dyDescent="0.35">
      <c r="C137" s="42" t="str">
        <f>IF(OR(Overview!$D$33="",Overview!$E$33=""),"",IF(Overview!$D$33+125&gt;Overview!$E$33,"",Overview!$D$33+125))</f>
        <v/>
      </c>
      <c r="D137" s="43" t="str">
        <f t="shared" ca="1" si="16"/>
        <v/>
      </c>
      <c r="E137" s="43" t="str">
        <f t="shared" ca="1" si="16"/>
        <v/>
      </c>
      <c r="F137" s="43" t="str">
        <f t="shared" ca="1" si="16"/>
        <v/>
      </c>
      <c r="G137" s="43" t="str">
        <f t="shared" ca="1" si="16"/>
        <v/>
      </c>
      <c r="H137" s="43" t="str">
        <f t="shared" ca="1" si="16"/>
        <v/>
      </c>
      <c r="I137" s="43" t="str">
        <f t="shared" ca="1" si="16"/>
        <v/>
      </c>
      <c r="J137" s="43" t="str">
        <f t="shared" ca="1" si="16"/>
        <v/>
      </c>
      <c r="K137" s="43" t="str">
        <f t="shared" ca="1" si="16"/>
        <v/>
      </c>
      <c r="L137" s="43" t="str">
        <f t="shared" ca="1" si="16"/>
        <v/>
      </c>
      <c r="M137" s="43" t="str">
        <f t="shared" ca="1" si="16"/>
        <v/>
      </c>
      <c r="N137" s="43" t="str">
        <f t="shared" ca="1" si="16"/>
        <v/>
      </c>
      <c r="O137" s="43" t="str">
        <f t="shared" ca="1" si="16"/>
        <v/>
      </c>
      <c r="P137" s="43" t="str">
        <f t="shared" ca="1" si="16"/>
        <v/>
      </c>
      <c r="Q137" s="43" t="str">
        <f t="shared" ca="1" si="16"/>
        <v/>
      </c>
      <c r="R137" s="43" t="str">
        <f t="shared" ca="1" si="16"/>
        <v/>
      </c>
      <c r="S137" s="44" t="str">
        <f t="shared" si="9"/>
        <v/>
      </c>
      <c r="T137" s="43" t="str">
        <f>IF($C137="","",SUMIFS(Overview!$G$18:$G$32,Overview!$D$18:$D$32,"&lt;="&amp;$C137,Overview!$E$18:$E$32,"&gt;="&amp;$C137))</f>
        <v/>
      </c>
      <c r="U137" s="43" t="str">
        <f ca="1">IF(OR($C137="",Overview!$I$33=""),"",IF($C137&gt;Overview!$I$33,"",SUM($S$12:S137)))</f>
        <v/>
      </c>
      <c r="V137" s="43" t="str">
        <f>IF($C137="","",SUM($T$12:T137))</f>
        <v/>
      </c>
      <c r="W137" s="45" t="str">
        <f t="shared" ca="1" si="10"/>
        <v/>
      </c>
    </row>
    <row r="138" spans="3:23" x14ac:dyDescent="0.35">
      <c r="C138" s="42" t="str">
        <f>IF(OR(Overview!$D$33="",Overview!$E$33=""),"",IF(Overview!$D$33+126&gt;Overview!$E$33,"",Overview!$D$33+126))</f>
        <v/>
      </c>
      <c r="D138" s="43" t="str">
        <f t="shared" ca="1" si="16"/>
        <v/>
      </c>
      <c r="E138" s="43" t="str">
        <f t="shared" ca="1" si="16"/>
        <v/>
      </c>
      <c r="F138" s="43" t="str">
        <f t="shared" ca="1" si="16"/>
        <v/>
      </c>
      <c r="G138" s="43" t="str">
        <f t="shared" ca="1" si="16"/>
        <v/>
      </c>
      <c r="H138" s="43" t="str">
        <f t="shared" ca="1" si="16"/>
        <v/>
      </c>
      <c r="I138" s="43" t="str">
        <f t="shared" ca="1" si="16"/>
        <v/>
      </c>
      <c r="J138" s="43" t="str">
        <f t="shared" ca="1" si="16"/>
        <v/>
      </c>
      <c r="K138" s="43" t="str">
        <f t="shared" ca="1" si="16"/>
        <v/>
      </c>
      <c r="L138" s="43" t="str">
        <f t="shared" ca="1" si="16"/>
        <v/>
      </c>
      <c r="M138" s="43" t="str">
        <f t="shared" ca="1" si="16"/>
        <v/>
      </c>
      <c r="N138" s="43" t="str">
        <f t="shared" ca="1" si="16"/>
        <v/>
      </c>
      <c r="O138" s="43" t="str">
        <f t="shared" ca="1" si="16"/>
        <v/>
      </c>
      <c r="P138" s="43" t="str">
        <f t="shared" ca="1" si="16"/>
        <v/>
      </c>
      <c r="Q138" s="43" t="str">
        <f t="shared" ca="1" si="16"/>
        <v/>
      </c>
      <c r="R138" s="43" t="str">
        <f t="shared" ca="1" si="16"/>
        <v/>
      </c>
      <c r="S138" s="44" t="str">
        <f t="shared" si="9"/>
        <v/>
      </c>
      <c r="T138" s="43" t="str">
        <f>IF($C138="","",SUMIFS(Overview!$G$18:$G$32,Overview!$D$18:$D$32,"&lt;="&amp;$C138,Overview!$E$18:$E$32,"&gt;="&amp;$C138))</f>
        <v/>
      </c>
      <c r="U138" s="43" t="str">
        <f ca="1">IF(OR($C138="",Overview!$I$33=""),"",IF($C138&gt;Overview!$I$33,"",SUM($S$12:S138)))</f>
        <v/>
      </c>
      <c r="V138" s="43" t="str">
        <f>IF($C138="","",SUM($T$12:T138))</f>
        <v/>
      </c>
      <c r="W138" s="45" t="str">
        <f t="shared" ca="1" si="10"/>
        <v/>
      </c>
    </row>
    <row r="139" spans="3:23" x14ac:dyDescent="0.35">
      <c r="C139" s="42" t="str">
        <f>IF(OR(Overview!$D$33="",Overview!$E$33=""),"",IF(Overview!$D$33+127&gt;Overview!$E$33,"",Overview!$D$33+127))</f>
        <v/>
      </c>
      <c r="D139" s="43" t="str">
        <f t="shared" ca="1" si="16"/>
        <v/>
      </c>
      <c r="E139" s="43" t="str">
        <f t="shared" ca="1" si="16"/>
        <v/>
      </c>
      <c r="F139" s="43" t="str">
        <f t="shared" ca="1" si="16"/>
        <v/>
      </c>
      <c r="G139" s="43" t="str">
        <f t="shared" ca="1" si="16"/>
        <v/>
      </c>
      <c r="H139" s="43" t="str">
        <f t="shared" ca="1" si="16"/>
        <v/>
      </c>
      <c r="I139" s="43" t="str">
        <f t="shared" ca="1" si="16"/>
        <v/>
      </c>
      <c r="J139" s="43" t="str">
        <f t="shared" ca="1" si="16"/>
        <v/>
      </c>
      <c r="K139" s="43" t="str">
        <f t="shared" ca="1" si="16"/>
        <v/>
      </c>
      <c r="L139" s="43" t="str">
        <f t="shared" ca="1" si="16"/>
        <v/>
      </c>
      <c r="M139" s="43" t="str">
        <f t="shared" ca="1" si="16"/>
        <v/>
      </c>
      <c r="N139" s="43" t="str">
        <f t="shared" ca="1" si="16"/>
        <v/>
      </c>
      <c r="O139" s="43" t="str">
        <f t="shared" ca="1" si="16"/>
        <v/>
      </c>
      <c r="P139" s="43" t="str">
        <f t="shared" ca="1" si="16"/>
        <v/>
      </c>
      <c r="Q139" s="43" t="str">
        <f t="shared" ca="1" si="16"/>
        <v/>
      </c>
      <c r="R139" s="43" t="str">
        <f t="shared" ca="1" si="16"/>
        <v/>
      </c>
      <c r="S139" s="44" t="str">
        <f t="shared" si="9"/>
        <v/>
      </c>
      <c r="T139" s="43" t="str">
        <f>IF($C139="","",SUMIFS(Overview!$G$18:$G$32,Overview!$D$18:$D$32,"&lt;="&amp;$C139,Overview!$E$18:$E$32,"&gt;="&amp;$C139))</f>
        <v/>
      </c>
      <c r="U139" s="43" t="str">
        <f ca="1">IF(OR($C139="",Overview!$I$33=""),"",IF($C139&gt;Overview!$I$33,"",SUM($S$12:S139)))</f>
        <v/>
      </c>
      <c r="V139" s="43" t="str">
        <f>IF($C139="","",SUM($T$12:T139))</f>
        <v/>
      </c>
      <c r="W139" s="45" t="str">
        <f t="shared" ca="1" si="10"/>
        <v/>
      </c>
    </row>
    <row r="140" spans="3:23" x14ac:dyDescent="0.35">
      <c r="C140" s="42" t="str">
        <f>IF(OR(Overview!$D$33="",Overview!$E$33=""),"",IF(Overview!$D$33+128&gt;Overview!$E$33,"",Overview!$D$33+128))</f>
        <v/>
      </c>
      <c r="D140" s="43" t="str">
        <f t="shared" ca="1" si="16"/>
        <v/>
      </c>
      <c r="E140" s="43" t="str">
        <f t="shared" ca="1" si="16"/>
        <v/>
      </c>
      <c r="F140" s="43" t="str">
        <f t="shared" ca="1" si="16"/>
        <v/>
      </c>
      <c r="G140" s="43" t="str">
        <f t="shared" ca="1" si="16"/>
        <v/>
      </c>
      <c r="H140" s="43" t="str">
        <f t="shared" ca="1" si="16"/>
        <v/>
      </c>
      <c r="I140" s="43" t="str">
        <f t="shared" ca="1" si="16"/>
        <v/>
      </c>
      <c r="J140" s="43" t="str">
        <f t="shared" ca="1" si="16"/>
        <v/>
      </c>
      <c r="K140" s="43" t="str">
        <f t="shared" ca="1" si="16"/>
        <v/>
      </c>
      <c r="L140" s="43" t="str">
        <f t="shared" ca="1" si="16"/>
        <v/>
      </c>
      <c r="M140" s="43" t="str">
        <f t="shared" ca="1" si="16"/>
        <v/>
      </c>
      <c r="N140" s="43" t="str">
        <f t="shared" ca="1" si="16"/>
        <v/>
      </c>
      <c r="O140" s="43" t="str">
        <f t="shared" ca="1" si="16"/>
        <v/>
      </c>
      <c r="P140" s="43" t="str">
        <f t="shared" ca="1" si="16"/>
        <v/>
      </c>
      <c r="Q140" s="43" t="str">
        <f t="shared" ca="1" si="16"/>
        <v/>
      </c>
      <c r="R140" s="43" t="str">
        <f t="shared" ca="1" si="16"/>
        <v/>
      </c>
      <c r="S140" s="44" t="str">
        <f t="shared" ref="S140:S203" si="17">IF($C140="","",SUM(D140:R140))</f>
        <v/>
      </c>
      <c r="T140" s="43" t="str">
        <f>IF($C140="","",SUMIFS(Overview!$G$18:$G$32,Overview!$D$18:$D$32,"&lt;="&amp;$C140,Overview!$E$18:$E$32,"&gt;="&amp;$C140))</f>
        <v/>
      </c>
      <c r="U140" s="43" t="str">
        <f ca="1">IF(OR($C140="",Overview!$I$33=""),"",IF($C140&gt;Overview!$I$33,"",SUM($S$12:S140)))</f>
        <v/>
      </c>
      <c r="V140" s="43" t="str">
        <f>IF($C140="","",SUM($T$12:T140))</f>
        <v/>
      </c>
      <c r="W140" s="45" t="str">
        <f t="shared" ref="W140:W203" ca="1" si="18">IF(OR(U140="",V140="",V140=0),"",U140/V140)</f>
        <v/>
      </c>
    </row>
    <row r="141" spans="3:23" x14ac:dyDescent="0.35">
      <c r="C141" s="42" t="str">
        <f>IF(OR(Overview!$D$33="",Overview!$E$33=""),"",IF(Overview!$D$33+129&gt;Overview!$E$33,"",Overview!$D$33+129))</f>
        <v/>
      </c>
      <c r="D141" s="43" t="str">
        <f t="shared" ca="1" si="16"/>
        <v/>
      </c>
      <c r="E141" s="43" t="str">
        <f t="shared" ca="1" si="16"/>
        <v/>
      </c>
      <c r="F141" s="43" t="str">
        <f t="shared" ca="1" si="16"/>
        <v/>
      </c>
      <c r="G141" s="43" t="str">
        <f t="shared" ca="1" si="16"/>
        <v/>
      </c>
      <c r="H141" s="43" t="str">
        <f t="shared" ca="1" si="16"/>
        <v/>
      </c>
      <c r="I141" s="43" t="str">
        <f t="shared" ca="1" si="16"/>
        <v/>
      </c>
      <c r="J141" s="43" t="str">
        <f t="shared" ca="1" si="16"/>
        <v/>
      </c>
      <c r="K141" s="43" t="str">
        <f t="shared" ca="1" si="16"/>
        <v/>
      </c>
      <c r="L141" s="43" t="str">
        <f t="shared" ca="1" si="16"/>
        <v/>
      </c>
      <c r="M141" s="43" t="str">
        <f t="shared" ca="1" si="16"/>
        <v/>
      </c>
      <c r="N141" s="43" t="str">
        <f t="shared" ca="1" si="16"/>
        <v/>
      </c>
      <c r="O141" s="43" t="str">
        <f t="shared" ca="1" si="16"/>
        <v/>
      </c>
      <c r="P141" s="43" t="str">
        <f t="shared" ca="1" si="16"/>
        <v/>
      </c>
      <c r="Q141" s="43" t="str">
        <f t="shared" ca="1" si="16"/>
        <v/>
      </c>
      <c r="R141" s="43" t="str">
        <f t="shared" ca="1" si="16"/>
        <v/>
      </c>
      <c r="S141" s="44" t="str">
        <f t="shared" si="17"/>
        <v/>
      </c>
      <c r="T141" s="43" t="str">
        <f>IF($C141="","",SUMIFS(Overview!$G$18:$G$32,Overview!$D$18:$D$32,"&lt;="&amp;$C141,Overview!$E$18:$E$32,"&gt;="&amp;$C141))</f>
        <v/>
      </c>
      <c r="U141" s="43" t="str">
        <f ca="1">IF(OR($C141="",Overview!$I$33=""),"",IF($C141&gt;Overview!$I$33,"",SUM($S$12:S141)))</f>
        <v/>
      </c>
      <c r="V141" s="43" t="str">
        <f>IF($C141="","",SUM($T$12:T141))</f>
        <v/>
      </c>
      <c r="W141" s="45" t="str">
        <f t="shared" ca="1" si="18"/>
        <v/>
      </c>
    </row>
    <row r="142" spans="3:23" x14ac:dyDescent="0.35">
      <c r="C142" s="42" t="str">
        <f>IF(OR(Overview!$D$33="",Overview!$E$33=""),"",IF(Overview!$D$33+130&gt;Overview!$E$33,"",Overview!$D$33+130))</f>
        <v/>
      </c>
      <c r="D142" s="43" t="str">
        <f t="shared" ref="D142:R151" ca="1" si="19">IF(OR($C142="",D$11=""),"",IFERROR(SUMIFS(INDIRECT("'"&amp;D$11&amp;"'!$F$14:$F$10013"),INDIRECT("'"&amp;D$11&amp;"'!$C$14:$C$10013"),$C142),""))</f>
        <v/>
      </c>
      <c r="E142" s="43" t="str">
        <f t="shared" ca="1" si="19"/>
        <v/>
      </c>
      <c r="F142" s="43" t="str">
        <f t="shared" ca="1" si="19"/>
        <v/>
      </c>
      <c r="G142" s="43" t="str">
        <f t="shared" ca="1" si="19"/>
        <v/>
      </c>
      <c r="H142" s="43" t="str">
        <f t="shared" ca="1" si="19"/>
        <v/>
      </c>
      <c r="I142" s="43" t="str">
        <f t="shared" ca="1" si="19"/>
        <v/>
      </c>
      <c r="J142" s="43" t="str">
        <f t="shared" ca="1" si="19"/>
        <v/>
      </c>
      <c r="K142" s="43" t="str">
        <f t="shared" ca="1" si="19"/>
        <v/>
      </c>
      <c r="L142" s="43" t="str">
        <f t="shared" ca="1" si="19"/>
        <v/>
      </c>
      <c r="M142" s="43" t="str">
        <f t="shared" ca="1" si="19"/>
        <v/>
      </c>
      <c r="N142" s="43" t="str">
        <f t="shared" ca="1" si="19"/>
        <v/>
      </c>
      <c r="O142" s="43" t="str">
        <f t="shared" ca="1" si="19"/>
        <v/>
      </c>
      <c r="P142" s="43" t="str">
        <f t="shared" ca="1" si="19"/>
        <v/>
      </c>
      <c r="Q142" s="43" t="str">
        <f t="shared" ca="1" si="19"/>
        <v/>
      </c>
      <c r="R142" s="43" t="str">
        <f t="shared" ca="1" si="19"/>
        <v/>
      </c>
      <c r="S142" s="44" t="str">
        <f t="shared" si="17"/>
        <v/>
      </c>
      <c r="T142" s="43" t="str">
        <f>IF($C142="","",SUMIFS(Overview!$G$18:$G$32,Overview!$D$18:$D$32,"&lt;="&amp;$C142,Overview!$E$18:$E$32,"&gt;="&amp;$C142))</f>
        <v/>
      </c>
      <c r="U142" s="43" t="str">
        <f ca="1">IF(OR($C142="",Overview!$I$33=""),"",IF($C142&gt;Overview!$I$33,"",SUM($S$12:S142)))</f>
        <v/>
      </c>
      <c r="V142" s="43" t="str">
        <f>IF($C142="","",SUM($T$12:T142))</f>
        <v/>
      </c>
      <c r="W142" s="45" t="str">
        <f t="shared" ca="1" si="18"/>
        <v/>
      </c>
    </row>
    <row r="143" spans="3:23" x14ac:dyDescent="0.35">
      <c r="C143" s="42" t="str">
        <f>IF(OR(Overview!$D$33="",Overview!$E$33=""),"",IF(Overview!$D$33+131&gt;Overview!$E$33,"",Overview!$D$33+131))</f>
        <v/>
      </c>
      <c r="D143" s="43" t="str">
        <f t="shared" ca="1" si="19"/>
        <v/>
      </c>
      <c r="E143" s="43" t="str">
        <f t="shared" ca="1" si="19"/>
        <v/>
      </c>
      <c r="F143" s="43" t="str">
        <f t="shared" ca="1" si="19"/>
        <v/>
      </c>
      <c r="G143" s="43" t="str">
        <f t="shared" ca="1" si="19"/>
        <v/>
      </c>
      <c r="H143" s="43" t="str">
        <f t="shared" ca="1" si="19"/>
        <v/>
      </c>
      <c r="I143" s="43" t="str">
        <f t="shared" ca="1" si="19"/>
        <v/>
      </c>
      <c r="J143" s="43" t="str">
        <f t="shared" ca="1" si="19"/>
        <v/>
      </c>
      <c r="K143" s="43" t="str">
        <f t="shared" ca="1" si="19"/>
        <v/>
      </c>
      <c r="L143" s="43" t="str">
        <f t="shared" ca="1" si="19"/>
        <v/>
      </c>
      <c r="M143" s="43" t="str">
        <f t="shared" ca="1" si="19"/>
        <v/>
      </c>
      <c r="N143" s="43" t="str">
        <f t="shared" ca="1" si="19"/>
        <v/>
      </c>
      <c r="O143" s="43" t="str">
        <f t="shared" ca="1" si="19"/>
        <v/>
      </c>
      <c r="P143" s="43" t="str">
        <f t="shared" ca="1" si="19"/>
        <v/>
      </c>
      <c r="Q143" s="43" t="str">
        <f t="shared" ca="1" si="19"/>
        <v/>
      </c>
      <c r="R143" s="43" t="str">
        <f t="shared" ca="1" si="19"/>
        <v/>
      </c>
      <c r="S143" s="44" t="str">
        <f t="shared" si="17"/>
        <v/>
      </c>
      <c r="T143" s="43" t="str">
        <f>IF($C143="","",SUMIFS(Overview!$G$18:$G$32,Overview!$D$18:$D$32,"&lt;="&amp;$C143,Overview!$E$18:$E$32,"&gt;="&amp;$C143))</f>
        <v/>
      </c>
      <c r="U143" s="43" t="str">
        <f ca="1">IF(OR($C143="",Overview!$I$33=""),"",IF($C143&gt;Overview!$I$33,"",SUM($S$12:S143)))</f>
        <v/>
      </c>
      <c r="V143" s="43" t="str">
        <f>IF($C143="","",SUM($T$12:T143))</f>
        <v/>
      </c>
      <c r="W143" s="45" t="str">
        <f t="shared" ca="1" si="18"/>
        <v/>
      </c>
    </row>
    <row r="144" spans="3:23" x14ac:dyDescent="0.35">
      <c r="C144" s="42" t="str">
        <f>IF(OR(Overview!$D$33="",Overview!$E$33=""),"",IF(Overview!$D$33+132&gt;Overview!$E$33,"",Overview!$D$33+132))</f>
        <v/>
      </c>
      <c r="D144" s="43" t="str">
        <f t="shared" ca="1" si="19"/>
        <v/>
      </c>
      <c r="E144" s="43" t="str">
        <f t="shared" ca="1" si="19"/>
        <v/>
      </c>
      <c r="F144" s="43" t="str">
        <f t="shared" ca="1" si="19"/>
        <v/>
      </c>
      <c r="G144" s="43" t="str">
        <f t="shared" ca="1" si="19"/>
        <v/>
      </c>
      <c r="H144" s="43" t="str">
        <f t="shared" ca="1" si="19"/>
        <v/>
      </c>
      <c r="I144" s="43" t="str">
        <f t="shared" ca="1" si="19"/>
        <v/>
      </c>
      <c r="J144" s="43" t="str">
        <f t="shared" ca="1" si="19"/>
        <v/>
      </c>
      <c r="K144" s="43" t="str">
        <f t="shared" ca="1" si="19"/>
        <v/>
      </c>
      <c r="L144" s="43" t="str">
        <f t="shared" ca="1" si="19"/>
        <v/>
      </c>
      <c r="M144" s="43" t="str">
        <f t="shared" ca="1" si="19"/>
        <v/>
      </c>
      <c r="N144" s="43" t="str">
        <f t="shared" ca="1" si="19"/>
        <v/>
      </c>
      <c r="O144" s="43" t="str">
        <f t="shared" ca="1" si="19"/>
        <v/>
      </c>
      <c r="P144" s="43" t="str">
        <f t="shared" ca="1" si="19"/>
        <v/>
      </c>
      <c r="Q144" s="43" t="str">
        <f t="shared" ca="1" si="19"/>
        <v/>
      </c>
      <c r="R144" s="43" t="str">
        <f t="shared" ca="1" si="19"/>
        <v/>
      </c>
      <c r="S144" s="44" t="str">
        <f t="shared" si="17"/>
        <v/>
      </c>
      <c r="T144" s="43" t="str">
        <f>IF($C144="","",SUMIFS(Overview!$G$18:$G$32,Overview!$D$18:$D$32,"&lt;="&amp;$C144,Overview!$E$18:$E$32,"&gt;="&amp;$C144))</f>
        <v/>
      </c>
      <c r="U144" s="43" t="str">
        <f ca="1">IF(OR($C144="",Overview!$I$33=""),"",IF($C144&gt;Overview!$I$33,"",SUM($S$12:S144)))</f>
        <v/>
      </c>
      <c r="V144" s="43" t="str">
        <f>IF($C144="","",SUM($T$12:T144))</f>
        <v/>
      </c>
      <c r="W144" s="45" t="str">
        <f t="shared" ca="1" si="18"/>
        <v/>
      </c>
    </row>
    <row r="145" spans="3:23" x14ac:dyDescent="0.35">
      <c r="C145" s="42" t="str">
        <f>IF(OR(Overview!$D$33="",Overview!$E$33=""),"",IF(Overview!$D$33+133&gt;Overview!$E$33,"",Overview!$D$33+133))</f>
        <v/>
      </c>
      <c r="D145" s="43" t="str">
        <f t="shared" ca="1" si="19"/>
        <v/>
      </c>
      <c r="E145" s="43" t="str">
        <f t="shared" ca="1" si="19"/>
        <v/>
      </c>
      <c r="F145" s="43" t="str">
        <f t="shared" ca="1" si="19"/>
        <v/>
      </c>
      <c r="G145" s="43" t="str">
        <f t="shared" ca="1" si="19"/>
        <v/>
      </c>
      <c r="H145" s="43" t="str">
        <f t="shared" ca="1" si="19"/>
        <v/>
      </c>
      <c r="I145" s="43" t="str">
        <f t="shared" ca="1" si="19"/>
        <v/>
      </c>
      <c r="J145" s="43" t="str">
        <f t="shared" ca="1" si="19"/>
        <v/>
      </c>
      <c r="K145" s="43" t="str">
        <f t="shared" ca="1" si="19"/>
        <v/>
      </c>
      <c r="L145" s="43" t="str">
        <f t="shared" ca="1" si="19"/>
        <v/>
      </c>
      <c r="M145" s="43" t="str">
        <f t="shared" ca="1" si="19"/>
        <v/>
      </c>
      <c r="N145" s="43" t="str">
        <f t="shared" ca="1" si="19"/>
        <v/>
      </c>
      <c r="O145" s="43" t="str">
        <f t="shared" ca="1" si="19"/>
        <v/>
      </c>
      <c r="P145" s="43" t="str">
        <f t="shared" ca="1" si="19"/>
        <v/>
      </c>
      <c r="Q145" s="43" t="str">
        <f t="shared" ca="1" si="19"/>
        <v/>
      </c>
      <c r="R145" s="43" t="str">
        <f t="shared" ca="1" si="19"/>
        <v/>
      </c>
      <c r="S145" s="44" t="str">
        <f t="shared" si="17"/>
        <v/>
      </c>
      <c r="T145" s="43" t="str">
        <f>IF($C145="","",SUMIFS(Overview!$G$18:$G$32,Overview!$D$18:$D$32,"&lt;="&amp;$C145,Overview!$E$18:$E$32,"&gt;="&amp;$C145))</f>
        <v/>
      </c>
      <c r="U145" s="43" t="str">
        <f ca="1">IF(OR($C145="",Overview!$I$33=""),"",IF($C145&gt;Overview!$I$33,"",SUM($S$12:S145)))</f>
        <v/>
      </c>
      <c r="V145" s="43" t="str">
        <f>IF($C145="","",SUM($T$12:T145))</f>
        <v/>
      </c>
      <c r="W145" s="45" t="str">
        <f t="shared" ca="1" si="18"/>
        <v/>
      </c>
    </row>
    <row r="146" spans="3:23" x14ac:dyDescent="0.35">
      <c r="C146" s="42" t="str">
        <f>IF(OR(Overview!$D$33="",Overview!$E$33=""),"",IF(Overview!$D$33+134&gt;Overview!$E$33,"",Overview!$D$33+134))</f>
        <v/>
      </c>
      <c r="D146" s="43" t="str">
        <f t="shared" ca="1" si="19"/>
        <v/>
      </c>
      <c r="E146" s="43" t="str">
        <f t="shared" ca="1" si="19"/>
        <v/>
      </c>
      <c r="F146" s="43" t="str">
        <f t="shared" ca="1" si="19"/>
        <v/>
      </c>
      <c r="G146" s="43" t="str">
        <f t="shared" ca="1" si="19"/>
        <v/>
      </c>
      <c r="H146" s="43" t="str">
        <f t="shared" ca="1" si="19"/>
        <v/>
      </c>
      <c r="I146" s="43" t="str">
        <f t="shared" ca="1" si="19"/>
        <v/>
      </c>
      <c r="J146" s="43" t="str">
        <f t="shared" ca="1" si="19"/>
        <v/>
      </c>
      <c r="K146" s="43" t="str">
        <f t="shared" ca="1" si="19"/>
        <v/>
      </c>
      <c r="L146" s="43" t="str">
        <f t="shared" ca="1" si="19"/>
        <v/>
      </c>
      <c r="M146" s="43" t="str">
        <f t="shared" ca="1" si="19"/>
        <v/>
      </c>
      <c r="N146" s="43" t="str">
        <f t="shared" ca="1" si="19"/>
        <v/>
      </c>
      <c r="O146" s="43" t="str">
        <f t="shared" ca="1" si="19"/>
        <v/>
      </c>
      <c r="P146" s="43" t="str">
        <f t="shared" ca="1" si="19"/>
        <v/>
      </c>
      <c r="Q146" s="43" t="str">
        <f t="shared" ca="1" si="19"/>
        <v/>
      </c>
      <c r="R146" s="43" t="str">
        <f t="shared" ca="1" si="19"/>
        <v/>
      </c>
      <c r="S146" s="44" t="str">
        <f t="shared" si="17"/>
        <v/>
      </c>
      <c r="T146" s="43" t="str">
        <f>IF($C146="","",SUMIFS(Overview!$G$18:$G$32,Overview!$D$18:$D$32,"&lt;="&amp;$C146,Overview!$E$18:$E$32,"&gt;="&amp;$C146))</f>
        <v/>
      </c>
      <c r="U146" s="43" t="str">
        <f ca="1">IF(OR($C146="",Overview!$I$33=""),"",IF($C146&gt;Overview!$I$33,"",SUM($S$12:S146)))</f>
        <v/>
      </c>
      <c r="V146" s="43" t="str">
        <f>IF($C146="","",SUM($T$12:T146))</f>
        <v/>
      </c>
      <c r="W146" s="45" t="str">
        <f t="shared" ca="1" si="18"/>
        <v/>
      </c>
    </row>
    <row r="147" spans="3:23" x14ac:dyDescent="0.35">
      <c r="C147" s="42" t="str">
        <f>IF(OR(Overview!$D$33="",Overview!$E$33=""),"",IF(Overview!$D$33+135&gt;Overview!$E$33,"",Overview!$D$33+135))</f>
        <v/>
      </c>
      <c r="D147" s="43" t="str">
        <f t="shared" ca="1" si="19"/>
        <v/>
      </c>
      <c r="E147" s="43" t="str">
        <f t="shared" ca="1" si="19"/>
        <v/>
      </c>
      <c r="F147" s="43" t="str">
        <f t="shared" ca="1" si="19"/>
        <v/>
      </c>
      <c r="G147" s="43" t="str">
        <f t="shared" ca="1" si="19"/>
        <v/>
      </c>
      <c r="H147" s="43" t="str">
        <f t="shared" ca="1" si="19"/>
        <v/>
      </c>
      <c r="I147" s="43" t="str">
        <f t="shared" ca="1" si="19"/>
        <v/>
      </c>
      <c r="J147" s="43" t="str">
        <f t="shared" ca="1" si="19"/>
        <v/>
      </c>
      <c r="K147" s="43" t="str">
        <f t="shared" ca="1" si="19"/>
        <v/>
      </c>
      <c r="L147" s="43" t="str">
        <f t="shared" ca="1" si="19"/>
        <v/>
      </c>
      <c r="M147" s="43" t="str">
        <f t="shared" ca="1" si="19"/>
        <v/>
      </c>
      <c r="N147" s="43" t="str">
        <f t="shared" ca="1" si="19"/>
        <v/>
      </c>
      <c r="O147" s="43" t="str">
        <f t="shared" ca="1" si="19"/>
        <v/>
      </c>
      <c r="P147" s="43" t="str">
        <f t="shared" ca="1" si="19"/>
        <v/>
      </c>
      <c r="Q147" s="43" t="str">
        <f t="shared" ca="1" si="19"/>
        <v/>
      </c>
      <c r="R147" s="43" t="str">
        <f t="shared" ca="1" si="19"/>
        <v/>
      </c>
      <c r="S147" s="44" t="str">
        <f t="shared" si="17"/>
        <v/>
      </c>
      <c r="T147" s="43" t="str">
        <f>IF($C147="","",SUMIFS(Overview!$G$18:$G$32,Overview!$D$18:$D$32,"&lt;="&amp;$C147,Overview!$E$18:$E$32,"&gt;="&amp;$C147))</f>
        <v/>
      </c>
      <c r="U147" s="43" t="str">
        <f ca="1">IF(OR($C147="",Overview!$I$33=""),"",IF($C147&gt;Overview!$I$33,"",SUM($S$12:S147)))</f>
        <v/>
      </c>
      <c r="V147" s="43" t="str">
        <f>IF($C147="","",SUM($T$12:T147))</f>
        <v/>
      </c>
      <c r="W147" s="45" t="str">
        <f t="shared" ca="1" si="18"/>
        <v/>
      </c>
    </row>
    <row r="148" spans="3:23" x14ac:dyDescent="0.35">
      <c r="C148" s="42" t="str">
        <f>IF(OR(Overview!$D$33="",Overview!$E$33=""),"",IF(Overview!$D$33+136&gt;Overview!$E$33,"",Overview!$D$33+136))</f>
        <v/>
      </c>
      <c r="D148" s="43" t="str">
        <f t="shared" ca="1" si="19"/>
        <v/>
      </c>
      <c r="E148" s="43" t="str">
        <f t="shared" ca="1" si="19"/>
        <v/>
      </c>
      <c r="F148" s="43" t="str">
        <f t="shared" ca="1" si="19"/>
        <v/>
      </c>
      <c r="G148" s="43" t="str">
        <f t="shared" ca="1" si="19"/>
        <v/>
      </c>
      <c r="H148" s="43" t="str">
        <f t="shared" ca="1" si="19"/>
        <v/>
      </c>
      <c r="I148" s="43" t="str">
        <f t="shared" ca="1" si="19"/>
        <v/>
      </c>
      <c r="J148" s="43" t="str">
        <f t="shared" ca="1" si="19"/>
        <v/>
      </c>
      <c r="K148" s="43" t="str">
        <f t="shared" ca="1" si="19"/>
        <v/>
      </c>
      <c r="L148" s="43" t="str">
        <f t="shared" ca="1" si="19"/>
        <v/>
      </c>
      <c r="M148" s="43" t="str">
        <f t="shared" ca="1" si="19"/>
        <v/>
      </c>
      <c r="N148" s="43" t="str">
        <f t="shared" ca="1" si="19"/>
        <v/>
      </c>
      <c r="O148" s="43" t="str">
        <f t="shared" ca="1" si="19"/>
        <v/>
      </c>
      <c r="P148" s="43" t="str">
        <f t="shared" ca="1" si="19"/>
        <v/>
      </c>
      <c r="Q148" s="43" t="str">
        <f t="shared" ca="1" si="19"/>
        <v/>
      </c>
      <c r="R148" s="43" t="str">
        <f t="shared" ca="1" si="19"/>
        <v/>
      </c>
      <c r="S148" s="44" t="str">
        <f t="shared" si="17"/>
        <v/>
      </c>
      <c r="T148" s="43" t="str">
        <f>IF($C148="","",SUMIFS(Overview!$G$18:$G$32,Overview!$D$18:$D$32,"&lt;="&amp;$C148,Overview!$E$18:$E$32,"&gt;="&amp;$C148))</f>
        <v/>
      </c>
      <c r="U148" s="43" t="str">
        <f ca="1">IF(OR($C148="",Overview!$I$33=""),"",IF($C148&gt;Overview!$I$33,"",SUM($S$12:S148)))</f>
        <v/>
      </c>
      <c r="V148" s="43" t="str">
        <f>IF($C148="","",SUM($T$12:T148))</f>
        <v/>
      </c>
      <c r="W148" s="45" t="str">
        <f t="shared" ca="1" si="18"/>
        <v/>
      </c>
    </row>
    <row r="149" spans="3:23" x14ac:dyDescent="0.35">
      <c r="C149" s="42" t="str">
        <f>IF(OR(Overview!$D$33="",Overview!$E$33=""),"",IF(Overview!$D$33+137&gt;Overview!$E$33,"",Overview!$D$33+137))</f>
        <v/>
      </c>
      <c r="D149" s="43" t="str">
        <f t="shared" ca="1" si="19"/>
        <v/>
      </c>
      <c r="E149" s="43" t="str">
        <f t="shared" ca="1" si="19"/>
        <v/>
      </c>
      <c r="F149" s="43" t="str">
        <f t="shared" ca="1" si="19"/>
        <v/>
      </c>
      <c r="G149" s="43" t="str">
        <f t="shared" ca="1" si="19"/>
        <v/>
      </c>
      <c r="H149" s="43" t="str">
        <f t="shared" ca="1" si="19"/>
        <v/>
      </c>
      <c r="I149" s="43" t="str">
        <f t="shared" ca="1" si="19"/>
        <v/>
      </c>
      <c r="J149" s="43" t="str">
        <f t="shared" ca="1" si="19"/>
        <v/>
      </c>
      <c r="K149" s="43" t="str">
        <f t="shared" ca="1" si="19"/>
        <v/>
      </c>
      <c r="L149" s="43" t="str">
        <f t="shared" ca="1" si="19"/>
        <v/>
      </c>
      <c r="M149" s="43" t="str">
        <f t="shared" ca="1" si="19"/>
        <v/>
      </c>
      <c r="N149" s="43" t="str">
        <f t="shared" ca="1" si="19"/>
        <v/>
      </c>
      <c r="O149" s="43" t="str">
        <f t="shared" ca="1" si="19"/>
        <v/>
      </c>
      <c r="P149" s="43" t="str">
        <f t="shared" ca="1" si="19"/>
        <v/>
      </c>
      <c r="Q149" s="43" t="str">
        <f t="shared" ca="1" si="19"/>
        <v/>
      </c>
      <c r="R149" s="43" t="str">
        <f t="shared" ca="1" si="19"/>
        <v/>
      </c>
      <c r="S149" s="44" t="str">
        <f t="shared" si="17"/>
        <v/>
      </c>
      <c r="T149" s="43" t="str">
        <f>IF($C149="","",SUMIFS(Overview!$G$18:$G$32,Overview!$D$18:$D$32,"&lt;="&amp;$C149,Overview!$E$18:$E$32,"&gt;="&amp;$C149))</f>
        <v/>
      </c>
      <c r="U149" s="43" t="str">
        <f ca="1">IF(OR($C149="",Overview!$I$33=""),"",IF($C149&gt;Overview!$I$33,"",SUM($S$12:S149)))</f>
        <v/>
      </c>
      <c r="V149" s="43" t="str">
        <f>IF($C149="","",SUM($T$12:T149))</f>
        <v/>
      </c>
      <c r="W149" s="45" t="str">
        <f t="shared" ca="1" si="18"/>
        <v/>
      </c>
    </row>
    <row r="150" spans="3:23" x14ac:dyDescent="0.35">
      <c r="C150" s="42" t="str">
        <f>IF(OR(Overview!$D$33="",Overview!$E$33=""),"",IF(Overview!$D$33+138&gt;Overview!$E$33,"",Overview!$D$33+138))</f>
        <v/>
      </c>
      <c r="D150" s="43" t="str">
        <f t="shared" ca="1" si="19"/>
        <v/>
      </c>
      <c r="E150" s="43" t="str">
        <f t="shared" ca="1" si="19"/>
        <v/>
      </c>
      <c r="F150" s="43" t="str">
        <f t="shared" ca="1" si="19"/>
        <v/>
      </c>
      <c r="G150" s="43" t="str">
        <f t="shared" ca="1" si="19"/>
        <v/>
      </c>
      <c r="H150" s="43" t="str">
        <f t="shared" ca="1" si="19"/>
        <v/>
      </c>
      <c r="I150" s="43" t="str">
        <f t="shared" ca="1" si="19"/>
        <v/>
      </c>
      <c r="J150" s="43" t="str">
        <f t="shared" ca="1" si="19"/>
        <v/>
      </c>
      <c r="K150" s="43" t="str">
        <f t="shared" ca="1" si="19"/>
        <v/>
      </c>
      <c r="L150" s="43" t="str">
        <f t="shared" ca="1" si="19"/>
        <v/>
      </c>
      <c r="M150" s="43" t="str">
        <f t="shared" ca="1" si="19"/>
        <v/>
      </c>
      <c r="N150" s="43" t="str">
        <f t="shared" ca="1" si="19"/>
        <v/>
      </c>
      <c r="O150" s="43" t="str">
        <f t="shared" ca="1" si="19"/>
        <v/>
      </c>
      <c r="P150" s="43" t="str">
        <f t="shared" ca="1" si="19"/>
        <v/>
      </c>
      <c r="Q150" s="43" t="str">
        <f t="shared" ca="1" si="19"/>
        <v/>
      </c>
      <c r="R150" s="43" t="str">
        <f t="shared" ca="1" si="19"/>
        <v/>
      </c>
      <c r="S150" s="44" t="str">
        <f t="shared" si="17"/>
        <v/>
      </c>
      <c r="T150" s="43" t="str">
        <f>IF($C150="","",SUMIFS(Overview!$G$18:$G$32,Overview!$D$18:$D$32,"&lt;="&amp;$C150,Overview!$E$18:$E$32,"&gt;="&amp;$C150))</f>
        <v/>
      </c>
      <c r="U150" s="43" t="str">
        <f ca="1">IF(OR($C150="",Overview!$I$33=""),"",IF($C150&gt;Overview!$I$33,"",SUM($S$12:S150)))</f>
        <v/>
      </c>
      <c r="V150" s="43" t="str">
        <f>IF($C150="","",SUM($T$12:T150))</f>
        <v/>
      </c>
      <c r="W150" s="45" t="str">
        <f t="shared" ca="1" si="18"/>
        <v/>
      </c>
    </row>
    <row r="151" spans="3:23" x14ac:dyDescent="0.35">
      <c r="C151" s="42" t="str">
        <f>IF(OR(Overview!$D$33="",Overview!$E$33=""),"",IF(Overview!$D$33+139&gt;Overview!$E$33,"",Overview!$D$33+139))</f>
        <v/>
      </c>
      <c r="D151" s="43" t="str">
        <f t="shared" ca="1" si="19"/>
        <v/>
      </c>
      <c r="E151" s="43" t="str">
        <f t="shared" ca="1" si="19"/>
        <v/>
      </c>
      <c r="F151" s="43" t="str">
        <f t="shared" ca="1" si="19"/>
        <v/>
      </c>
      <c r="G151" s="43" t="str">
        <f t="shared" ca="1" si="19"/>
        <v/>
      </c>
      <c r="H151" s="43" t="str">
        <f t="shared" ca="1" si="19"/>
        <v/>
      </c>
      <c r="I151" s="43" t="str">
        <f t="shared" ca="1" si="19"/>
        <v/>
      </c>
      <c r="J151" s="43" t="str">
        <f t="shared" ca="1" si="19"/>
        <v/>
      </c>
      <c r="K151" s="43" t="str">
        <f t="shared" ca="1" si="19"/>
        <v/>
      </c>
      <c r="L151" s="43" t="str">
        <f t="shared" ca="1" si="19"/>
        <v/>
      </c>
      <c r="M151" s="43" t="str">
        <f t="shared" ca="1" si="19"/>
        <v/>
      </c>
      <c r="N151" s="43" t="str">
        <f t="shared" ca="1" si="19"/>
        <v/>
      </c>
      <c r="O151" s="43" t="str">
        <f t="shared" ca="1" si="19"/>
        <v/>
      </c>
      <c r="P151" s="43" t="str">
        <f t="shared" ca="1" si="19"/>
        <v/>
      </c>
      <c r="Q151" s="43" t="str">
        <f t="shared" ca="1" si="19"/>
        <v/>
      </c>
      <c r="R151" s="43" t="str">
        <f t="shared" ca="1" si="19"/>
        <v/>
      </c>
      <c r="S151" s="44" t="str">
        <f t="shared" si="17"/>
        <v/>
      </c>
      <c r="T151" s="43" t="str">
        <f>IF($C151="","",SUMIFS(Overview!$G$18:$G$32,Overview!$D$18:$D$32,"&lt;="&amp;$C151,Overview!$E$18:$E$32,"&gt;="&amp;$C151))</f>
        <v/>
      </c>
      <c r="U151" s="43" t="str">
        <f ca="1">IF(OR($C151="",Overview!$I$33=""),"",IF($C151&gt;Overview!$I$33,"",SUM($S$12:S151)))</f>
        <v/>
      </c>
      <c r="V151" s="43" t="str">
        <f>IF($C151="","",SUM($T$12:T151))</f>
        <v/>
      </c>
      <c r="W151" s="45" t="str">
        <f t="shared" ca="1" si="18"/>
        <v/>
      </c>
    </row>
    <row r="152" spans="3:23" x14ac:dyDescent="0.35">
      <c r="C152" s="42" t="str">
        <f>IF(OR(Overview!$D$33="",Overview!$E$33=""),"",IF(Overview!$D$33+140&gt;Overview!$E$33,"",Overview!$D$33+140))</f>
        <v/>
      </c>
      <c r="D152" s="43" t="str">
        <f t="shared" ref="D152:R161" ca="1" si="20">IF(OR($C152="",D$11=""),"",IFERROR(SUMIFS(INDIRECT("'"&amp;D$11&amp;"'!$F$14:$F$10013"),INDIRECT("'"&amp;D$11&amp;"'!$C$14:$C$10013"),$C152),""))</f>
        <v/>
      </c>
      <c r="E152" s="43" t="str">
        <f t="shared" ca="1" si="20"/>
        <v/>
      </c>
      <c r="F152" s="43" t="str">
        <f t="shared" ca="1" si="20"/>
        <v/>
      </c>
      <c r="G152" s="43" t="str">
        <f t="shared" ca="1" si="20"/>
        <v/>
      </c>
      <c r="H152" s="43" t="str">
        <f t="shared" ca="1" si="20"/>
        <v/>
      </c>
      <c r="I152" s="43" t="str">
        <f t="shared" ca="1" si="20"/>
        <v/>
      </c>
      <c r="J152" s="43" t="str">
        <f t="shared" ca="1" si="20"/>
        <v/>
      </c>
      <c r="K152" s="43" t="str">
        <f t="shared" ca="1" si="20"/>
        <v/>
      </c>
      <c r="L152" s="43" t="str">
        <f t="shared" ca="1" si="20"/>
        <v/>
      </c>
      <c r="M152" s="43" t="str">
        <f t="shared" ca="1" si="20"/>
        <v/>
      </c>
      <c r="N152" s="43" t="str">
        <f t="shared" ca="1" si="20"/>
        <v/>
      </c>
      <c r="O152" s="43" t="str">
        <f t="shared" ca="1" si="20"/>
        <v/>
      </c>
      <c r="P152" s="43" t="str">
        <f t="shared" ca="1" si="20"/>
        <v/>
      </c>
      <c r="Q152" s="43" t="str">
        <f t="shared" ca="1" si="20"/>
        <v/>
      </c>
      <c r="R152" s="43" t="str">
        <f t="shared" ca="1" si="20"/>
        <v/>
      </c>
      <c r="S152" s="44" t="str">
        <f t="shared" si="17"/>
        <v/>
      </c>
      <c r="T152" s="43" t="str">
        <f>IF($C152="","",SUMIFS(Overview!$G$18:$G$32,Overview!$D$18:$D$32,"&lt;="&amp;$C152,Overview!$E$18:$E$32,"&gt;="&amp;$C152))</f>
        <v/>
      </c>
      <c r="U152" s="43" t="str">
        <f ca="1">IF(OR($C152="",Overview!$I$33=""),"",IF($C152&gt;Overview!$I$33,"",SUM($S$12:S152)))</f>
        <v/>
      </c>
      <c r="V152" s="43" t="str">
        <f>IF($C152="","",SUM($T$12:T152))</f>
        <v/>
      </c>
      <c r="W152" s="45" t="str">
        <f t="shared" ca="1" si="18"/>
        <v/>
      </c>
    </row>
    <row r="153" spans="3:23" x14ac:dyDescent="0.35">
      <c r="C153" s="42" t="str">
        <f>IF(OR(Overview!$D$33="",Overview!$E$33=""),"",IF(Overview!$D$33+141&gt;Overview!$E$33,"",Overview!$D$33+141))</f>
        <v/>
      </c>
      <c r="D153" s="43" t="str">
        <f t="shared" ca="1" si="20"/>
        <v/>
      </c>
      <c r="E153" s="43" t="str">
        <f t="shared" ca="1" si="20"/>
        <v/>
      </c>
      <c r="F153" s="43" t="str">
        <f t="shared" ca="1" si="20"/>
        <v/>
      </c>
      <c r="G153" s="43" t="str">
        <f t="shared" ca="1" si="20"/>
        <v/>
      </c>
      <c r="H153" s="43" t="str">
        <f t="shared" ca="1" si="20"/>
        <v/>
      </c>
      <c r="I153" s="43" t="str">
        <f t="shared" ca="1" si="20"/>
        <v/>
      </c>
      <c r="J153" s="43" t="str">
        <f t="shared" ca="1" si="20"/>
        <v/>
      </c>
      <c r="K153" s="43" t="str">
        <f t="shared" ca="1" si="20"/>
        <v/>
      </c>
      <c r="L153" s="43" t="str">
        <f t="shared" ca="1" si="20"/>
        <v/>
      </c>
      <c r="M153" s="43" t="str">
        <f t="shared" ca="1" si="20"/>
        <v/>
      </c>
      <c r="N153" s="43" t="str">
        <f t="shared" ca="1" si="20"/>
        <v/>
      </c>
      <c r="O153" s="43" t="str">
        <f t="shared" ca="1" si="20"/>
        <v/>
      </c>
      <c r="P153" s="43" t="str">
        <f t="shared" ca="1" si="20"/>
        <v/>
      </c>
      <c r="Q153" s="43" t="str">
        <f t="shared" ca="1" si="20"/>
        <v/>
      </c>
      <c r="R153" s="43" t="str">
        <f t="shared" ca="1" si="20"/>
        <v/>
      </c>
      <c r="S153" s="44" t="str">
        <f t="shared" si="17"/>
        <v/>
      </c>
      <c r="T153" s="43" t="str">
        <f>IF($C153="","",SUMIFS(Overview!$G$18:$G$32,Overview!$D$18:$D$32,"&lt;="&amp;$C153,Overview!$E$18:$E$32,"&gt;="&amp;$C153))</f>
        <v/>
      </c>
      <c r="U153" s="43" t="str">
        <f ca="1">IF(OR($C153="",Overview!$I$33=""),"",IF($C153&gt;Overview!$I$33,"",SUM($S$12:S153)))</f>
        <v/>
      </c>
      <c r="V153" s="43" t="str">
        <f>IF($C153="","",SUM($T$12:T153))</f>
        <v/>
      </c>
      <c r="W153" s="45" t="str">
        <f t="shared" ca="1" si="18"/>
        <v/>
      </c>
    </row>
    <row r="154" spans="3:23" x14ac:dyDescent="0.35">
      <c r="C154" s="42" t="str">
        <f>IF(OR(Overview!$D$33="",Overview!$E$33=""),"",IF(Overview!$D$33+142&gt;Overview!$E$33,"",Overview!$D$33+142))</f>
        <v/>
      </c>
      <c r="D154" s="43" t="str">
        <f t="shared" ca="1" si="20"/>
        <v/>
      </c>
      <c r="E154" s="43" t="str">
        <f t="shared" ca="1" si="20"/>
        <v/>
      </c>
      <c r="F154" s="43" t="str">
        <f t="shared" ca="1" si="20"/>
        <v/>
      </c>
      <c r="G154" s="43" t="str">
        <f t="shared" ca="1" si="20"/>
        <v/>
      </c>
      <c r="H154" s="43" t="str">
        <f t="shared" ca="1" si="20"/>
        <v/>
      </c>
      <c r="I154" s="43" t="str">
        <f t="shared" ca="1" si="20"/>
        <v/>
      </c>
      <c r="J154" s="43" t="str">
        <f t="shared" ca="1" si="20"/>
        <v/>
      </c>
      <c r="K154" s="43" t="str">
        <f t="shared" ca="1" si="20"/>
        <v/>
      </c>
      <c r="L154" s="43" t="str">
        <f t="shared" ca="1" si="20"/>
        <v/>
      </c>
      <c r="M154" s="43" t="str">
        <f t="shared" ca="1" si="20"/>
        <v/>
      </c>
      <c r="N154" s="43" t="str">
        <f t="shared" ca="1" si="20"/>
        <v/>
      </c>
      <c r="O154" s="43" t="str">
        <f t="shared" ca="1" si="20"/>
        <v/>
      </c>
      <c r="P154" s="43" t="str">
        <f t="shared" ca="1" si="20"/>
        <v/>
      </c>
      <c r="Q154" s="43" t="str">
        <f t="shared" ca="1" si="20"/>
        <v/>
      </c>
      <c r="R154" s="43" t="str">
        <f t="shared" ca="1" si="20"/>
        <v/>
      </c>
      <c r="S154" s="44" t="str">
        <f t="shared" si="17"/>
        <v/>
      </c>
      <c r="T154" s="43" t="str">
        <f>IF($C154="","",SUMIFS(Overview!$G$18:$G$32,Overview!$D$18:$D$32,"&lt;="&amp;$C154,Overview!$E$18:$E$32,"&gt;="&amp;$C154))</f>
        <v/>
      </c>
      <c r="U154" s="43" t="str">
        <f ca="1">IF(OR($C154="",Overview!$I$33=""),"",IF($C154&gt;Overview!$I$33,"",SUM($S$12:S154)))</f>
        <v/>
      </c>
      <c r="V154" s="43" t="str">
        <f>IF($C154="","",SUM($T$12:T154))</f>
        <v/>
      </c>
      <c r="W154" s="45" t="str">
        <f t="shared" ca="1" si="18"/>
        <v/>
      </c>
    </row>
    <row r="155" spans="3:23" x14ac:dyDescent="0.35">
      <c r="C155" s="42" t="str">
        <f>IF(OR(Overview!$D$33="",Overview!$E$33=""),"",IF(Overview!$D$33+143&gt;Overview!$E$33,"",Overview!$D$33+143))</f>
        <v/>
      </c>
      <c r="D155" s="43" t="str">
        <f t="shared" ca="1" si="20"/>
        <v/>
      </c>
      <c r="E155" s="43" t="str">
        <f t="shared" ca="1" si="20"/>
        <v/>
      </c>
      <c r="F155" s="43" t="str">
        <f t="shared" ca="1" si="20"/>
        <v/>
      </c>
      <c r="G155" s="43" t="str">
        <f t="shared" ca="1" si="20"/>
        <v/>
      </c>
      <c r="H155" s="43" t="str">
        <f t="shared" ca="1" si="20"/>
        <v/>
      </c>
      <c r="I155" s="43" t="str">
        <f t="shared" ca="1" si="20"/>
        <v/>
      </c>
      <c r="J155" s="43" t="str">
        <f t="shared" ca="1" si="20"/>
        <v/>
      </c>
      <c r="K155" s="43" t="str">
        <f t="shared" ca="1" si="20"/>
        <v/>
      </c>
      <c r="L155" s="43" t="str">
        <f t="shared" ca="1" si="20"/>
        <v/>
      </c>
      <c r="M155" s="43" t="str">
        <f t="shared" ca="1" si="20"/>
        <v/>
      </c>
      <c r="N155" s="43" t="str">
        <f t="shared" ca="1" si="20"/>
        <v/>
      </c>
      <c r="O155" s="43" t="str">
        <f t="shared" ca="1" si="20"/>
        <v/>
      </c>
      <c r="P155" s="43" t="str">
        <f t="shared" ca="1" si="20"/>
        <v/>
      </c>
      <c r="Q155" s="43" t="str">
        <f t="shared" ca="1" si="20"/>
        <v/>
      </c>
      <c r="R155" s="43" t="str">
        <f t="shared" ca="1" si="20"/>
        <v/>
      </c>
      <c r="S155" s="44" t="str">
        <f t="shared" si="17"/>
        <v/>
      </c>
      <c r="T155" s="43" t="str">
        <f>IF($C155="","",SUMIFS(Overview!$G$18:$G$32,Overview!$D$18:$D$32,"&lt;="&amp;$C155,Overview!$E$18:$E$32,"&gt;="&amp;$C155))</f>
        <v/>
      </c>
      <c r="U155" s="43" t="str">
        <f ca="1">IF(OR($C155="",Overview!$I$33=""),"",IF($C155&gt;Overview!$I$33,"",SUM($S$12:S155)))</f>
        <v/>
      </c>
      <c r="V155" s="43" t="str">
        <f>IF($C155="","",SUM($T$12:T155))</f>
        <v/>
      </c>
      <c r="W155" s="45" t="str">
        <f t="shared" ca="1" si="18"/>
        <v/>
      </c>
    </row>
    <row r="156" spans="3:23" x14ac:dyDescent="0.35">
      <c r="C156" s="42" t="str">
        <f>IF(OR(Overview!$D$33="",Overview!$E$33=""),"",IF(Overview!$D$33+144&gt;Overview!$E$33,"",Overview!$D$33+144))</f>
        <v/>
      </c>
      <c r="D156" s="43" t="str">
        <f t="shared" ca="1" si="20"/>
        <v/>
      </c>
      <c r="E156" s="43" t="str">
        <f t="shared" ca="1" si="20"/>
        <v/>
      </c>
      <c r="F156" s="43" t="str">
        <f t="shared" ca="1" si="20"/>
        <v/>
      </c>
      <c r="G156" s="43" t="str">
        <f t="shared" ca="1" si="20"/>
        <v/>
      </c>
      <c r="H156" s="43" t="str">
        <f t="shared" ca="1" si="20"/>
        <v/>
      </c>
      <c r="I156" s="43" t="str">
        <f t="shared" ca="1" si="20"/>
        <v/>
      </c>
      <c r="J156" s="43" t="str">
        <f t="shared" ca="1" si="20"/>
        <v/>
      </c>
      <c r="K156" s="43" t="str">
        <f t="shared" ca="1" si="20"/>
        <v/>
      </c>
      <c r="L156" s="43" t="str">
        <f t="shared" ca="1" si="20"/>
        <v/>
      </c>
      <c r="M156" s="43" t="str">
        <f t="shared" ca="1" si="20"/>
        <v/>
      </c>
      <c r="N156" s="43" t="str">
        <f t="shared" ca="1" si="20"/>
        <v/>
      </c>
      <c r="O156" s="43" t="str">
        <f t="shared" ca="1" si="20"/>
        <v/>
      </c>
      <c r="P156" s="43" t="str">
        <f t="shared" ca="1" si="20"/>
        <v/>
      </c>
      <c r="Q156" s="43" t="str">
        <f t="shared" ca="1" si="20"/>
        <v/>
      </c>
      <c r="R156" s="43" t="str">
        <f t="shared" ca="1" si="20"/>
        <v/>
      </c>
      <c r="S156" s="44" t="str">
        <f t="shared" si="17"/>
        <v/>
      </c>
      <c r="T156" s="43" t="str">
        <f>IF($C156="","",SUMIFS(Overview!$G$18:$G$32,Overview!$D$18:$D$32,"&lt;="&amp;$C156,Overview!$E$18:$E$32,"&gt;="&amp;$C156))</f>
        <v/>
      </c>
      <c r="U156" s="43" t="str">
        <f ca="1">IF(OR($C156="",Overview!$I$33=""),"",IF($C156&gt;Overview!$I$33,"",SUM($S$12:S156)))</f>
        <v/>
      </c>
      <c r="V156" s="43" t="str">
        <f>IF($C156="","",SUM($T$12:T156))</f>
        <v/>
      </c>
      <c r="W156" s="45" t="str">
        <f t="shared" ca="1" si="18"/>
        <v/>
      </c>
    </row>
    <row r="157" spans="3:23" x14ac:dyDescent="0.35">
      <c r="C157" s="42" t="str">
        <f>IF(OR(Overview!$D$33="",Overview!$E$33=""),"",IF(Overview!$D$33+145&gt;Overview!$E$33,"",Overview!$D$33+145))</f>
        <v/>
      </c>
      <c r="D157" s="43" t="str">
        <f t="shared" ca="1" si="20"/>
        <v/>
      </c>
      <c r="E157" s="43" t="str">
        <f t="shared" ca="1" si="20"/>
        <v/>
      </c>
      <c r="F157" s="43" t="str">
        <f t="shared" ca="1" si="20"/>
        <v/>
      </c>
      <c r="G157" s="43" t="str">
        <f t="shared" ca="1" si="20"/>
        <v/>
      </c>
      <c r="H157" s="43" t="str">
        <f t="shared" ca="1" si="20"/>
        <v/>
      </c>
      <c r="I157" s="43" t="str">
        <f t="shared" ca="1" si="20"/>
        <v/>
      </c>
      <c r="J157" s="43" t="str">
        <f t="shared" ca="1" si="20"/>
        <v/>
      </c>
      <c r="K157" s="43" t="str">
        <f t="shared" ca="1" si="20"/>
        <v/>
      </c>
      <c r="L157" s="43" t="str">
        <f t="shared" ca="1" si="20"/>
        <v/>
      </c>
      <c r="M157" s="43" t="str">
        <f t="shared" ca="1" si="20"/>
        <v/>
      </c>
      <c r="N157" s="43" t="str">
        <f t="shared" ca="1" si="20"/>
        <v/>
      </c>
      <c r="O157" s="43" t="str">
        <f t="shared" ca="1" si="20"/>
        <v/>
      </c>
      <c r="P157" s="43" t="str">
        <f t="shared" ca="1" si="20"/>
        <v/>
      </c>
      <c r="Q157" s="43" t="str">
        <f t="shared" ca="1" si="20"/>
        <v/>
      </c>
      <c r="R157" s="43" t="str">
        <f t="shared" ca="1" si="20"/>
        <v/>
      </c>
      <c r="S157" s="44" t="str">
        <f t="shared" si="17"/>
        <v/>
      </c>
      <c r="T157" s="43" t="str">
        <f>IF($C157="","",SUMIFS(Overview!$G$18:$G$32,Overview!$D$18:$D$32,"&lt;="&amp;$C157,Overview!$E$18:$E$32,"&gt;="&amp;$C157))</f>
        <v/>
      </c>
      <c r="U157" s="43" t="str">
        <f ca="1">IF(OR($C157="",Overview!$I$33=""),"",IF($C157&gt;Overview!$I$33,"",SUM($S$12:S157)))</f>
        <v/>
      </c>
      <c r="V157" s="43" t="str">
        <f>IF($C157="","",SUM($T$12:T157))</f>
        <v/>
      </c>
      <c r="W157" s="45" t="str">
        <f t="shared" ca="1" si="18"/>
        <v/>
      </c>
    </row>
    <row r="158" spans="3:23" x14ac:dyDescent="0.35">
      <c r="C158" s="42" t="str">
        <f>IF(OR(Overview!$D$33="",Overview!$E$33=""),"",IF(Overview!$D$33+146&gt;Overview!$E$33,"",Overview!$D$33+146))</f>
        <v/>
      </c>
      <c r="D158" s="43" t="str">
        <f t="shared" ca="1" si="20"/>
        <v/>
      </c>
      <c r="E158" s="43" t="str">
        <f t="shared" ca="1" si="20"/>
        <v/>
      </c>
      <c r="F158" s="43" t="str">
        <f t="shared" ca="1" si="20"/>
        <v/>
      </c>
      <c r="G158" s="43" t="str">
        <f t="shared" ca="1" si="20"/>
        <v/>
      </c>
      <c r="H158" s="43" t="str">
        <f t="shared" ca="1" si="20"/>
        <v/>
      </c>
      <c r="I158" s="43" t="str">
        <f t="shared" ca="1" si="20"/>
        <v/>
      </c>
      <c r="J158" s="43" t="str">
        <f t="shared" ca="1" si="20"/>
        <v/>
      </c>
      <c r="K158" s="43" t="str">
        <f t="shared" ca="1" si="20"/>
        <v/>
      </c>
      <c r="L158" s="43" t="str">
        <f t="shared" ca="1" si="20"/>
        <v/>
      </c>
      <c r="M158" s="43" t="str">
        <f t="shared" ca="1" si="20"/>
        <v/>
      </c>
      <c r="N158" s="43" t="str">
        <f t="shared" ca="1" si="20"/>
        <v/>
      </c>
      <c r="O158" s="43" t="str">
        <f t="shared" ca="1" si="20"/>
        <v/>
      </c>
      <c r="P158" s="43" t="str">
        <f t="shared" ca="1" si="20"/>
        <v/>
      </c>
      <c r="Q158" s="43" t="str">
        <f t="shared" ca="1" si="20"/>
        <v/>
      </c>
      <c r="R158" s="43" t="str">
        <f t="shared" ca="1" si="20"/>
        <v/>
      </c>
      <c r="S158" s="44" t="str">
        <f t="shared" si="17"/>
        <v/>
      </c>
      <c r="T158" s="43" t="str">
        <f>IF($C158="","",SUMIFS(Overview!$G$18:$G$32,Overview!$D$18:$D$32,"&lt;="&amp;$C158,Overview!$E$18:$E$32,"&gt;="&amp;$C158))</f>
        <v/>
      </c>
      <c r="U158" s="43" t="str">
        <f ca="1">IF(OR($C158="",Overview!$I$33=""),"",IF($C158&gt;Overview!$I$33,"",SUM($S$12:S158)))</f>
        <v/>
      </c>
      <c r="V158" s="43" t="str">
        <f>IF($C158="","",SUM($T$12:T158))</f>
        <v/>
      </c>
      <c r="W158" s="45" t="str">
        <f t="shared" ca="1" si="18"/>
        <v/>
      </c>
    </row>
    <row r="159" spans="3:23" x14ac:dyDescent="0.35">
      <c r="C159" s="42" t="str">
        <f>IF(OR(Overview!$D$33="",Overview!$E$33=""),"",IF(Overview!$D$33+147&gt;Overview!$E$33,"",Overview!$D$33+147))</f>
        <v/>
      </c>
      <c r="D159" s="43" t="str">
        <f t="shared" ca="1" si="20"/>
        <v/>
      </c>
      <c r="E159" s="43" t="str">
        <f t="shared" ca="1" si="20"/>
        <v/>
      </c>
      <c r="F159" s="43" t="str">
        <f t="shared" ca="1" si="20"/>
        <v/>
      </c>
      <c r="G159" s="43" t="str">
        <f t="shared" ca="1" si="20"/>
        <v/>
      </c>
      <c r="H159" s="43" t="str">
        <f t="shared" ca="1" si="20"/>
        <v/>
      </c>
      <c r="I159" s="43" t="str">
        <f t="shared" ca="1" si="20"/>
        <v/>
      </c>
      <c r="J159" s="43" t="str">
        <f t="shared" ca="1" si="20"/>
        <v/>
      </c>
      <c r="K159" s="43" t="str">
        <f t="shared" ca="1" si="20"/>
        <v/>
      </c>
      <c r="L159" s="43" t="str">
        <f t="shared" ca="1" si="20"/>
        <v/>
      </c>
      <c r="M159" s="43" t="str">
        <f t="shared" ca="1" si="20"/>
        <v/>
      </c>
      <c r="N159" s="43" t="str">
        <f t="shared" ca="1" si="20"/>
        <v/>
      </c>
      <c r="O159" s="43" t="str">
        <f t="shared" ca="1" si="20"/>
        <v/>
      </c>
      <c r="P159" s="43" t="str">
        <f t="shared" ca="1" si="20"/>
        <v/>
      </c>
      <c r="Q159" s="43" t="str">
        <f t="shared" ca="1" si="20"/>
        <v/>
      </c>
      <c r="R159" s="43" t="str">
        <f t="shared" ca="1" si="20"/>
        <v/>
      </c>
      <c r="S159" s="44" t="str">
        <f t="shared" si="17"/>
        <v/>
      </c>
      <c r="T159" s="43" t="str">
        <f>IF($C159="","",SUMIFS(Overview!$G$18:$G$32,Overview!$D$18:$D$32,"&lt;="&amp;$C159,Overview!$E$18:$E$32,"&gt;="&amp;$C159))</f>
        <v/>
      </c>
      <c r="U159" s="43" t="str">
        <f ca="1">IF(OR($C159="",Overview!$I$33=""),"",IF($C159&gt;Overview!$I$33,"",SUM($S$12:S159)))</f>
        <v/>
      </c>
      <c r="V159" s="43" t="str">
        <f>IF($C159="","",SUM($T$12:T159))</f>
        <v/>
      </c>
      <c r="W159" s="45" t="str">
        <f t="shared" ca="1" si="18"/>
        <v/>
      </c>
    </row>
    <row r="160" spans="3:23" x14ac:dyDescent="0.35">
      <c r="C160" s="42" t="str">
        <f>IF(OR(Overview!$D$33="",Overview!$E$33=""),"",IF(Overview!$D$33+148&gt;Overview!$E$33,"",Overview!$D$33+148))</f>
        <v/>
      </c>
      <c r="D160" s="43" t="str">
        <f t="shared" ca="1" si="20"/>
        <v/>
      </c>
      <c r="E160" s="43" t="str">
        <f t="shared" ca="1" si="20"/>
        <v/>
      </c>
      <c r="F160" s="43" t="str">
        <f t="shared" ca="1" si="20"/>
        <v/>
      </c>
      <c r="G160" s="43" t="str">
        <f t="shared" ca="1" si="20"/>
        <v/>
      </c>
      <c r="H160" s="43" t="str">
        <f t="shared" ca="1" si="20"/>
        <v/>
      </c>
      <c r="I160" s="43" t="str">
        <f t="shared" ca="1" si="20"/>
        <v/>
      </c>
      <c r="J160" s="43" t="str">
        <f t="shared" ca="1" si="20"/>
        <v/>
      </c>
      <c r="K160" s="43" t="str">
        <f t="shared" ca="1" si="20"/>
        <v/>
      </c>
      <c r="L160" s="43" t="str">
        <f t="shared" ca="1" si="20"/>
        <v/>
      </c>
      <c r="M160" s="43" t="str">
        <f t="shared" ca="1" si="20"/>
        <v/>
      </c>
      <c r="N160" s="43" t="str">
        <f t="shared" ca="1" si="20"/>
        <v/>
      </c>
      <c r="O160" s="43" t="str">
        <f t="shared" ca="1" si="20"/>
        <v/>
      </c>
      <c r="P160" s="43" t="str">
        <f t="shared" ca="1" si="20"/>
        <v/>
      </c>
      <c r="Q160" s="43" t="str">
        <f t="shared" ca="1" si="20"/>
        <v/>
      </c>
      <c r="R160" s="43" t="str">
        <f t="shared" ca="1" si="20"/>
        <v/>
      </c>
      <c r="S160" s="44" t="str">
        <f t="shared" si="17"/>
        <v/>
      </c>
      <c r="T160" s="43" t="str">
        <f>IF($C160="","",SUMIFS(Overview!$G$18:$G$32,Overview!$D$18:$D$32,"&lt;="&amp;$C160,Overview!$E$18:$E$32,"&gt;="&amp;$C160))</f>
        <v/>
      </c>
      <c r="U160" s="43" t="str">
        <f ca="1">IF(OR($C160="",Overview!$I$33=""),"",IF($C160&gt;Overview!$I$33,"",SUM($S$12:S160)))</f>
        <v/>
      </c>
      <c r="V160" s="43" t="str">
        <f>IF($C160="","",SUM($T$12:T160))</f>
        <v/>
      </c>
      <c r="W160" s="45" t="str">
        <f t="shared" ca="1" si="18"/>
        <v/>
      </c>
    </row>
    <row r="161" spans="3:23" x14ac:dyDescent="0.35">
      <c r="C161" s="42" t="str">
        <f>IF(OR(Overview!$D$33="",Overview!$E$33=""),"",IF(Overview!$D$33+149&gt;Overview!$E$33,"",Overview!$D$33+149))</f>
        <v/>
      </c>
      <c r="D161" s="43" t="str">
        <f t="shared" ca="1" si="20"/>
        <v/>
      </c>
      <c r="E161" s="43" t="str">
        <f t="shared" ca="1" si="20"/>
        <v/>
      </c>
      <c r="F161" s="43" t="str">
        <f t="shared" ca="1" si="20"/>
        <v/>
      </c>
      <c r="G161" s="43" t="str">
        <f t="shared" ca="1" si="20"/>
        <v/>
      </c>
      <c r="H161" s="43" t="str">
        <f t="shared" ca="1" si="20"/>
        <v/>
      </c>
      <c r="I161" s="43" t="str">
        <f t="shared" ca="1" si="20"/>
        <v/>
      </c>
      <c r="J161" s="43" t="str">
        <f t="shared" ca="1" si="20"/>
        <v/>
      </c>
      <c r="K161" s="43" t="str">
        <f t="shared" ca="1" si="20"/>
        <v/>
      </c>
      <c r="L161" s="43" t="str">
        <f t="shared" ca="1" si="20"/>
        <v/>
      </c>
      <c r="M161" s="43" t="str">
        <f t="shared" ca="1" si="20"/>
        <v/>
      </c>
      <c r="N161" s="43" t="str">
        <f t="shared" ca="1" si="20"/>
        <v/>
      </c>
      <c r="O161" s="43" t="str">
        <f t="shared" ca="1" si="20"/>
        <v/>
      </c>
      <c r="P161" s="43" t="str">
        <f t="shared" ca="1" si="20"/>
        <v/>
      </c>
      <c r="Q161" s="43" t="str">
        <f t="shared" ca="1" si="20"/>
        <v/>
      </c>
      <c r="R161" s="43" t="str">
        <f t="shared" ca="1" si="20"/>
        <v/>
      </c>
      <c r="S161" s="44" t="str">
        <f t="shared" si="17"/>
        <v/>
      </c>
      <c r="T161" s="43" t="str">
        <f>IF($C161="","",SUMIFS(Overview!$G$18:$G$32,Overview!$D$18:$D$32,"&lt;="&amp;$C161,Overview!$E$18:$E$32,"&gt;="&amp;$C161))</f>
        <v/>
      </c>
      <c r="U161" s="43" t="str">
        <f ca="1">IF(OR($C161="",Overview!$I$33=""),"",IF($C161&gt;Overview!$I$33,"",SUM($S$12:S161)))</f>
        <v/>
      </c>
      <c r="V161" s="43" t="str">
        <f>IF($C161="","",SUM($T$12:T161))</f>
        <v/>
      </c>
      <c r="W161" s="45" t="str">
        <f t="shared" ca="1" si="18"/>
        <v/>
      </c>
    </row>
    <row r="162" spans="3:23" x14ac:dyDescent="0.35">
      <c r="C162" s="42" t="str">
        <f>IF(OR(Overview!$D$33="",Overview!$E$33=""),"",IF(Overview!$D$33+150&gt;Overview!$E$33,"",Overview!$D$33+150))</f>
        <v/>
      </c>
      <c r="D162" s="43" t="str">
        <f t="shared" ref="D162:R171" ca="1" si="21">IF(OR($C162="",D$11=""),"",IFERROR(SUMIFS(INDIRECT("'"&amp;D$11&amp;"'!$F$14:$F$10013"),INDIRECT("'"&amp;D$11&amp;"'!$C$14:$C$10013"),$C162),""))</f>
        <v/>
      </c>
      <c r="E162" s="43" t="str">
        <f t="shared" ca="1" si="21"/>
        <v/>
      </c>
      <c r="F162" s="43" t="str">
        <f t="shared" ca="1" si="21"/>
        <v/>
      </c>
      <c r="G162" s="43" t="str">
        <f t="shared" ca="1" si="21"/>
        <v/>
      </c>
      <c r="H162" s="43" t="str">
        <f t="shared" ca="1" si="21"/>
        <v/>
      </c>
      <c r="I162" s="43" t="str">
        <f t="shared" ca="1" si="21"/>
        <v/>
      </c>
      <c r="J162" s="43" t="str">
        <f t="shared" ca="1" si="21"/>
        <v/>
      </c>
      <c r="K162" s="43" t="str">
        <f t="shared" ca="1" si="21"/>
        <v/>
      </c>
      <c r="L162" s="43" t="str">
        <f t="shared" ca="1" si="21"/>
        <v/>
      </c>
      <c r="M162" s="43" t="str">
        <f t="shared" ca="1" si="21"/>
        <v/>
      </c>
      <c r="N162" s="43" t="str">
        <f t="shared" ca="1" si="21"/>
        <v/>
      </c>
      <c r="O162" s="43" t="str">
        <f t="shared" ca="1" si="21"/>
        <v/>
      </c>
      <c r="P162" s="43" t="str">
        <f t="shared" ca="1" si="21"/>
        <v/>
      </c>
      <c r="Q162" s="43" t="str">
        <f t="shared" ca="1" si="21"/>
        <v/>
      </c>
      <c r="R162" s="43" t="str">
        <f t="shared" ca="1" si="21"/>
        <v/>
      </c>
      <c r="S162" s="44" t="str">
        <f t="shared" si="17"/>
        <v/>
      </c>
      <c r="T162" s="43" t="str">
        <f>IF($C162="","",SUMIFS(Overview!$G$18:$G$32,Overview!$D$18:$D$32,"&lt;="&amp;$C162,Overview!$E$18:$E$32,"&gt;="&amp;$C162))</f>
        <v/>
      </c>
      <c r="U162" s="43" t="str">
        <f ca="1">IF(OR($C162="",Overview!$I$33=""),"",IF($C162&gt;Overview!$I$33,"",SUM($S$12:S162)))</f>
        <v/>
      </c>
      <c r="V162" s="43" t="str">
        <f>IF($C162="","",SUM($T$12:T162))</f>
        <v/>
      </c>
      <c r="W162" s="45" t="str">
        <f t="shared" ca="1" si="18"/>
        <v/>
      </c>
    </row>
    <row r="163" spans="3:23" x14ac:dyDescent="0.35">
      <c r="C163" s="42" t="str">
        <f>IF(OR(Overview!$D$33="",Overview!$E$33=""),"",IF(Overview!$D$33+151&gt;Overview!$E$33,"",Overview!$D$33+151))</f>
        <v/>
      </c>
      <c r="D163" s="43" t="str">
        <f t="shared" ca="1" si="21"/>
        <v/>
      </c>
      <c r="E163" s="43" t="str">
        <f t="shared" ca="1" si="21"/>
        <v/>
      </c>
      <c r="F163" s="43" t="str">
        <f t="shared" ca="1" si="21"/>
        <v/>
      </c>
      <c r="G163" s="43" t="str">
        <f t="shared" ca="1" si="21"/>
        <v/>
      </c>
      <c r="H163" s="43" t="str">
        <f t="shared" ca="1" si="21"/>
        <v/>
      </c>
      <c r="I163" s="43" t="str">
        <f t="shared" ca="1" si="21"/>
        <v/>
      </c>
      <c r="J163" s="43" t="str">
        <f t="shared" ca="1" si="21"/>
        <v/>
      </c>
      <c r="K163" s="43" t="str">
        <f t="shared" ca="1" si="21"/>
        <v/>
      </c>
      <c r="L163" s="43" t="str">
        <f t="shared" ca="1" si="21"/>
        <v/>
      </c>
      <c r="M163" s="43" t="str">
        <f t="shared" ca="1" si="21"/>
        <v/>
      </c>
      <c r="N163" s="43" t="str">
        <f t="shared" ca="1" si="21"/>
        <v/>
      </c>
      <c r="O163" s="43" t="str">
        <f t="shared" ca="1" si="21"/>
        <v/>
      </c>
      <c r="P163" s="43" t="str">
        <f t="shared" ca="1" si="21"/>
        <v/>
      </c>
      <c r="Q163" s="43" t="str">
        <f t="shared" ca="1" si="21"/>
        <v/>
      </c>
      <c r="R163" s="43" t="str">
        <f t="shared" ca="1" si="21"/>
        <v/>
      </c>
      <c r="S163" s="44" t="str">
        <f t="shared" si="17"/>
        <v/>
      </c>
      <c r="T163" s="43" t="str">
        <f>IF($C163="","",SUMIFS(Overview!$G$18:$G$32,Overview!$D$18:$D$32,"&lt;="&amp;$C163,Overview!$E$18:$E$32,"&gt;="&amp;$C163))</f>
        <v/>
      </c>
      <c r="U163" s="43" t="str">
        <f ca="1">IF(OR($C163="",Overview!$I$33=""),"",IF($C163&gt;Overview!$I$33,"",SUM($S$12:S163)))</f>
        <v/>
      </c>
      <c r="V163" s="43" t="str">
        <f>IF($C163="","",SUM($T$12:T163))</f>
        <v/>
      </c>
      <c r="W163" s="45" t="str">
        <f t="shared" ca="1" si="18"/>
        <v/>
      </c>
    </row>
    <row r="164" spans="3:23" x14ac:dyDescent="0.35">
      <c r="C164" s="42" t="str">
        <f>IF(OR(Overview!$D$33="",Overview!$E$33=""),"",IF(Overview!$D$33+152&gt;Overview!$E$33,"",Overview!$D$33+152))</f>
        <v/>
      </c>
      <c r="D164" s="43" t="str">
        <f t="shared" ca="1" si="21"/>
        <v/>
      </c>
      <c r="E164" s="43" t="str">
        <f t="shared" ca="1" si="21"/>
        <v/>
      </c>
      <c r="F164" s="43" t="str">
        <f t="shared" ca="1" si="21"/>
        <v/>
      </c>
      <c r="G164" s="43" t="str">
        <f t="shared" ca="1" si="21"/>
        <v/>
      </c>
      <c r="H164" s="43" t="str">
        <f t="shared" ca="1" si="21"/>
        <v/>
      </c>
      <c r="I164" s="43" t="str">
        <f t="shared" ca="1" si="21"/>
        <v/>
      </c>
      <c r="J164" s="43" t="str">
        <f t="shared" ca="1" si="21"/>
        <v/>
      </c>
      <c r="K164" s="43" t="str">
        <f t="shared" ca="1" si="21"/>
        <v/>
      </c>
      <c r="L164" s="43" t="str">
        <f t="shared" ca="1" si="21"/>
        <v/>
      </c>
      <c r="M164" s="43" t="str">
        <f t="shared" ca="1" si="21"/>
        <v/>
      </c>
      <c r="N164" s="43" t="str">
        <f t="shared" ca="1" si="21"/>
        <v/>
      </c>
      <c r="O164" s="43" t="str">
        <f t="shared" ca="1" si="21"/>
        <v/>
      </c>
      <c r="P164" s="43" t="str">
        <f t="shared" ca="1" si="21"/>
        <v/>
      </c>
      <c r="Q164" s="43" t="str">
        <f t="shared" ca="1" si="21"/>
        <v/>
      </c>
      <c r="R164" s="43" t="str">
        <f t="shared" ca="1" si="21"/>
        <v/>
      </c>
      <c r="S164" s="44" t="str">
        <f t="shared" si="17"/>
        <v/>
      </c>
      <c r="T164" s="43" t="str">
        <f>IF($C164="","",SUMIFS(Overview!$G$18:$G$32,Overview!$D$18:$D$32,"&lt;="&amp;$C164,Overview!$E$18:$E$32,"&gt;="&amp;$C164))</f>
        <v/>
      </c>
      <c r="U164" s="43" t="str">
        <f ca="1">IF(OR($C164="",Overview!$I$33=""),"",IF($C164&gt;Overview!$I$33,"",SUM($S$12:S164)))</f>
        <v/>
      </c>
      <c r="V164" s="43" t="str">
        <f>IF($C164="","",SUM($T$12:T164))</f>
        <v/>
      </c>
      <c r="W164" s="45" t="str">
        <f t="shared" ca="1" si="18"/>
        <v/>
      </c>
    </row>
    <row r="165" spans="3:23" x14ac:dyDescent="0.35">
      <c r="C165" s="42" t="str">
        <f>IF(OR(Overview!$D$33="",Overview!$E$33=""),"",IF(Overview!$D$33+153&gt;Overview!$E$33,"",Overview!$D$33+153))</f>
        <v/>
      </c>
      <c r="D165" s="43" t="str">
        <f t="shared" ca="1" si="21"/>
        <v/>
      </c>
      <c r="E165" s="43" t="str">
        <f t="shared" ca="1" si="21"/>
        <v/>
      </c>
      <c r="F165" s="43" t="str">
        <f t="shared" ca="1" si="21"/>
        <v/>
      </c>
      <c r="G165" s="43" t="str">
        <f t="shared" ca="1" si="21"/>
        <v/>
      </c>
      <c r="H165" s="43" t="str">
        <f t="shared" ca="1" si="21"/>
        <v/>
      </c>
      <c r="I165" s="43" t="str">
        <f t="shared" ca="1" si="21"/>
        <v/>
      </c>
      <c r="J165" s="43" t="str">
        <f t="shared" ca="1" si="21"/>
        <v/>
      </c>
      <c r="K165" s="43" t="str">
        <f t="shared" ca="1" si="21"/>
        <v/>
      </c>
      <c r="L165" s="43" t="str">
        <f t="shared" ca="1" si="21"/>
        <v/>
      </c>
      <c r="M165" s="43" t="str">
        <f t="shared" ca="1" si="21"/>
        <v/>
      </c>
      <c r="N165" s="43" t="str">
        <f t="shared" ca="1" si="21"/>
        <v/>
      </c>
      <c r="O165" s="43" t="str">
        <f t="shared" ca="1" si="21"/>
        <v/>
      </c>
      <c r="P165" s="43" t="str">
        <f t="shared" ca="1" si="21"/>
        <v/>
      </c>
      <c r="Q165" s="43" t="str">
        <f t="shared" ca="1" si="21"/>
        <v/>
      </c>
      <c r="R165" s="43" t="str">
        <f t="shared" ca="1" si="21"/>
        <v/>
      </c>
      <c r="S165" s="44" t="str">
        <f t="shared" si="17"/>
        <v/>
      </c>
      <c r="T165" s="43" t="str">
        <f>IF($C165="","",SUMIFS(Overview!$G$18:$G$32,Overview!$D$18:$D$32,"&lt;="&amp;$C165,Overview!$E$18:$E$32,"&gt;="&amp;$C165))</f>
        <v/>
      </c>
      <c r="U165" s="43" t="str">
        <f ca="1">IF(OR($C165="",Overview!$I$33=""),"",IF($C165&gt;Overview!$I$33,"",SUM($S$12:S165)))</f>
        <v/>
      </c>
      <c r="V165" s="43" t="str">
        <f>IF($C165="","",SUM($T$12:T165))</f>
        <v/>
      </c>
      <c r="W165" s="45" t="str">
        <f t="shared" ca="1" si="18"/>
        <v/>
      </c>
    </row>
    <row r="166" spans="3:23" x14ac:dyDescent="0.35">
      <c r="C166" s="42" t="str">
        <f>IF(OR(Overview!$D$33="",Overview!$E$33=""),"",IF(Overview!$D$33+154&gt;Overview!$E$33,"",Overview!$D$33+154))</f>
        <v/>
      </c>
      <c r="D166" s="43" t="str">
        <f t="shared" ca="1" si="21"/>
        <v/>
      </c>
      <c r="E166" s="43" t="str">
        <f t="shared" ca="1" si="21"/>
        <v/>
      </c>
      <c r="F166" s="43" t="str">
        <f t="shared" ca="1" si="21"/>
        <v/>
      </c>
      <c r="G166" s="43" t="str">
        <f t="shared" ca="1" si="21"/>
        <v/>
      </c>
      <c r="H166" s="43" t="str">
        <f t="shared" ca="1" si="21"/>
        <v/>
      </c>
      <c r="I166" s="43" t="str">
        <f t="shared" ca="1" si="21"/>
        <v/>
      </c>
      <c r="J166" s="43" t="str">
        <f t="shared" ca="1" si="21"/>
        <v/>
      </c>
      <c r="K166" s="43" t="str">
        <f t="shared" ca="1" si="21"/>
        <v/>
      </c>
      <c r="L166" s="43" t="str">
        <f t="shared" ca="1" si="21"/>
        <v/>
      </c>
      <c r="M166" s="43" t="str">
        <f t="shared" ca="1" si="21"/>
        <v/>
      </c>
      <c r="N166" s="43" t="str">
        <f t="shared" ca="1" si="21"/>
        <v/>
      </c>
      <c r="O166" s="43" t="str">
        <f t="shared" ca="1" si="21"/>
        <v/>
      </c>
      <c r="P166" s="43" t="str">
        <f t="shared" ca="1" si="21"/>
        <v/>
      </c>
      <c r="Q166" s="43" t="str">
        <f t="shared" ca="1" si="21"/>
        <v/>
      </c>
      <c r="R166" s="43" t="str">
        <f t="shared" ca="1" si="21"/>
        <v/>
      </c>
      <c r="S166" s="44" t="str">
        <f t="shared" si="17"/>
        <v/>
      </c>
      <c r="T166" s="43" t="str">
        <f>IF($C166="","",SUMIFS(Overview!$G$18:$G$32,Overview!$D$18:$D$32,"&lt;="&amp;$C166,Overview!$E$18:$E$32,"&gt;="&amp;$C166))</f>
        <v/>
      </c>
      <c r="U166" s="43" t="str">
        <f ca="1">IF(OR($C166="",Overview!$I$33=""),"",IF($C166&gt;Overview!$I$33,"",SUM($S$12:S166)))</f>
        <v/>
      </c>
      <c r="V166" s="43" t="str">
        <f>IF($C166="","",SUM($T$12:T166))</f>
        <v/>
      </c>
      <c r="W166" s="45" t="str">
        <f t="shared" ca="1" si="18"/>
        <v/>
      </c>
    </row>
    <row r="167" spans="3:23" x14ac:dyDescent="0.35">
      <c r="C167" s="42" t="str">
        <f>IF(OR(Overview!$D$33="",Overview!$E$33=""),"",IF(Overview!$D$33+155&gt;Overview!$E$33,"",Overview!$D$33+155))</f>
        <v/>
      </c>
      <c r="D167" s="43" t="str">
        <f t="shared" ca="1" si="21"/>
        <v/>
      </c>
      <c r="E167" s="43" t="str">
        <f t="shared" ca="1" si="21"/>
        <v/>
      </c>
      <c r="F167" s="43" t="str">
        <f t="shared" ca="1" si="21"/>
        <v/>
      </c>
      <c r="G167" s="43" t="str">
        <f t="shared" ca="1" si="21"/>
        <v/>
      </c>
      <c r="H167" s="43" t="str">
        <f t="shared" ca="1" si="21"/>
        <v/>
      </c>
      <c r="I167" s="43" t="str">
        <f t="shared" ca="1" si="21"/>
        <v/>
      </c>
      <c r="J167" s="43" t="str">
        <f t="shared" ca="1" si="21"/>
        <v/>
      </c>
      <c r="K167" s="43" t="str">
        <f t="shared" ca="1" si="21"/>
        <v/>
      </c>
      <c r="L167" s="43" t="str">
        <f t="shared" ca="1" si="21"/>
        <v/>
      </c>
      <c r="M167" s="43" t="str">
        <f t="shared" ca="1" si="21"/>
        <v/>
      </c>
      <c r="N167" s="43" t="str">
        <f t="shared" ca="1" si="21"/>
        <v/>
      </c>
      <c r="O167" s="43" t="str">
        <f t="shared" ca="1" si="21"/>
        <v/>
      </c>
      <c r="P167" s="43" t="str">
        <f t="shared" ca="1" si="21"/>
        <v/>
      </c>
      <c r="Q167" s="43" t="str">
        <f t="shared" ca="1" si="21"/>
        <v/>
      </c>
      <c r="R167" s="43" t="str">
        <f t="shared" ca="1" si="21"/>
        <v/>
      </c>
      <c r="S167" s="44" t="str">
        <f t="shared" si="17"/>
        <v/>
      </c>
      <c r="T167" s="43" t="str">
        <f>IF($C167="","",SUMIFS(Overview!$G$18:$G$32,Overview!$D$18:$D$32,"&lt;="&amp;$C167,Overview!$E$18:$E$32,"&gt;="&amp;$C167))</f>
        <v/>
      </c>
      <c r="U167" s="43" t="str">
        <f ca="1">IF(OR($C167="",Overview!$I$33=""),"",IF($C167&gt;Overview!$I$33,"",SUM($S$12:S167)))</f>
        <v/>
      </c>
      <c r="V167" s="43" t="str">
        <f>IF($C167="","",SUM($T$12:T167))</f>
        <v/>
      </c>
      <c r="W167" s="45" t="str">
        <f t="shared" ca="1" si="18"/>
        <v/>
      </c>
    </row>
    <row r="168" spans="3:23" x14ac:dyDescent="0.35">
      <c r="C168" s="42" t="str">
        <f>IF(OR(Overview!$D$33="",Overview!$E$33=""),"",IF(Overview!$D$33+156&gt;Overview!$E$33,"",Overview!$D$33+156))</f>
        <v/>
      </c>
      <c r="D168" s="43" t="str">
        <f t="shared" ca="1" si="21"/>
        <v/>
      </c>
      <c r="E168" s="43" t="str">
        <f t="shared" ca="1" si="21"/>
        <v/>
      </c>
      <c r="F168" s="43" t="str">
        <f t="shared" ca="1" si="21"/>
        <v/>
      </c>
      <c r="G168" s="43" t="str">
        <f t="shared" ca="1" si="21"/>
        <v/>
      </c>
      <c r="H168" s="43" t="str">
        <f t="shared" ca="1" si="21"/>
        <v/>
      </c>
      <c r="I168" s="43" t="str">
        <f t="shared" ca="1" si="21"/>
        <v/>
      </c>
      <c r="J168" s="43" t="str">
        <f t="shared" ca="1" si="21"/>
        <v/>
      </c>
      <c r="K168" s="43" t="str">
        <f t="shared" ca="1" si="21"/>
        <v/>
      </c>
      <c r="L168" s="43" t="str">
        <f t="shared" ca="1" si="21"/>
        <v/>
      </c>
      <c r="M168" s="43" t="str">
        <f t="shared" ca="1" si="21"/>
        <v/>
      </c>
      <c r="N168" s="43" t="str">
        <f t="shared" ca="1" si="21"/>
        <v/>
      </c>
      <c r="O168" s="43" t="str">
        <f t="shared" ca="1" si="21"/>
        <v/>
      </c>
      <c r="P168" s="43" t="str">
        <f t="shared" ca="1" si="21"/>
        <v/>
      </c>
      <c r="Q168" s="43" t="str">
        <f t="shared" ca="1" si="21"/>
        <v/>
      </c>
      <c r="R168" s="43" t="str">
        <f t="shared" ca="1" si="21"/>
        <v/>
      </c>
      <c r="S168" s="44" t="str">
        <f t="shared" si="17"/>
        <v/>
      </c>
      <c r="T168" s="43" t="str">
        <f>IF($C168="","",SUMIFS(Overview!$G$18:$G$32,Overview!$D$18:$D$32,"&lt;="&amp;$C168,Overview!$E$18:$E$32,"&gt;="&amp;$C168))</f>
        <v/>
      </c>
      <c r="U168" s="43" t="str">
        <f ca="1">IF(OR($C168="",Overview!$I$33=""),"",IF($C168&gt;Overview!$I$33,"",SUM($S$12:S168)))</f>
        <v/>
      </c>
      <c r="V168" s="43" t="str">
        <f>IF($C168="","",SUM($T$12:T168))</f>
        <v/>
      </c>
      <c r="W168" s="45" t="str">
        <f t="shared" ca="1" si="18"/>
        <v/>
      </c>
    </row>
    <row r="169" spans="3:23" x14ac:dyDescent="0.35">
      <c r="C169" s="42" t="str">
        <f>IF(OR(Overview!$D$33="",Overview!$E$33=""),"",IF(Overview!$D$33+157&gt;Overview!$E$33,"",Overview!$D$33+157))</f>
        <v/>
      </c>
      <c r="D169" s="43" t="str">
        <f t="shared" ca="1" si="21"/>
        <v/>
      </c>
      <c r="E169" s="43" t="str">
        <f t="shared" ca="1" si="21"/>
        <v/>
      </c>
      <c r="F169" s="43" t="str">
        <f t="shared" ca="1" si="21"/>
        <v/>
      </c>
      <c r="G169" s="43" t="str">
        <f t="shared" ca="1" si="21"/>
        <v/>
      </c>
      <c r="H169" s="43" t="str">
        <f t="shared" ca="1" si="21"/>
        <v/>
      </c>
      <c r="I169" s="43" t="str">
        <f t="shared" ca="1" si="21"/>
        <v/>
      </c>
      <c r="J169" s="43" t="str">
        <f t="shared" ca="1" si="21"/>
        <v/>
      </c>
      <c r="K169" s="43" t="str">
        <f t="shared" ca="1" si="21"/>
        <v/>
      </c>
      <c r="L169" s="43" t="str">
        <f t="shared" ca="1" si="21"/>
        <v/>
      </c>
      <c r="M169" s="43" t="str">
        <f t="shared" ca="1" si="21"/>
        <v/>
      </c>
      <c r="N169" s="43" t="str">
        <f t="shared" ca="1" si="21"/>
        <v/>
      </c>
      <c r="O169" s="43" t="str">
        <f t="shared" ca="1" si="21"/>
        <v/>
      </c>
      <c r="P169" s="43" t="str">
        <f t="shared" ca="1" si="21"/>
        <v/>
      </c>
      <c r="Q169" s="43" t="str">
        <f t="shared" ca="1" si="21"/>
        <v/>
      </c>
      <c r="R169" s="43" t="str">
        <f t="shared" ca="1" si="21"/>
        <v/>
      </c>
      <c r="S169" s="44" t="str">
        <f t="shared" si="17"/>
        <v/>
      </c>
      <c r="T169" s="43" t="str">
        <f>IF($C169="","",SUMIFS(Overview!$G$18:$G$32,Overview!$D$18:$D$32,"&lt;="&amp;$C169,Overview!$E$18:$E$32,"&gt;="&amp;$C169))</f>
        <v/>
      </c>
      <c r="U169" s="43" t="str">
        <f ca="1">IF(OR($C169="",Overview!$I$33=""),"",IF($C169&gt;Overview!$I$33,"",SUM($S$12:S169)))</f>
        <v/>
      </c>
      <c r="V169" s="43" t="str">
        <f>IF($C169="","",SUM($T$12:T169))</f>
        <v/>
      </c>
      <c r="W169" s="45" t="str">
        <f t="shared" ca="1" si="18"/>
        <v/>
      </c>
    </row>
    <row r="170" spans="3:23" x14ac:dyDescent="0.35">
      <c r="C170" s="42" t="str">
        <f>IF(OR(Overview!$D$33="",Overview!$E$33=""),"",IF(Overview!$D$33+158&gt;Overview!$E$33,"",Overview!$D$33+158))</f>
        <v/>
      </c>
      <c r="D170" s="43" t="str">
        <f t="shared" ca="1" si="21"/>
        <v/>
      </c>
      <c r="E170" s="43" t="str">
        <f t="shared" ca="1" si="21"/>
        <v/>
      </c>
      <c r="F170" s="43" t="str">
        <f t="shared" ca="1" si="21"/>
        <v/>
      </c>
      <c r="G170" s="43" t="str">
        <f t="shared" ca="1" si="21"/>
        <v/>
      </c>
      <c r="H170" s="43" t="str">
        <f t="shared" ca="1" si="21"/>
        <v/>
      </c>
      <c r="I170" s="43" t="str">
        <f t="shared" ca="1" si="21"/>
        <v/>
      </c>
      <c r="J170" s="43" t="str">
        <f t="shared" ca="1" si="21"/>
        <v/>
      </c>
      <c r="K170" s="43" t="str">
        <f t="shared" ca="1" si="21"/>
        <v/>
      </c>
      <c r="L170" s="43" t="str">
        <f t="shared" ca="1" si="21"/>
        <v/>
      </c>
      <c r="M170" s="43" t="str">
        <f t="shared" ca="1" si="21"/>
        <v/>
      </c>
      <c r="N170" s="43" t="str">
        <f t="shared" ca="1" si="21"/>
        <v/>
      </c>
      <c r="O170" s="43" t="str">
        <f t="shared" ca="1" si="21"/>
        <v/>
      </c>
      <c r="P170" s="43" t="str">
        <f t="shared" ca="1" si="21"/>
        <v/>
      </c>
      <c r="Q170" s="43" t="str">
        <f t="shared" ca="1" si="21"/>
        <v/>
      </c>
      <c r="R170" s="43" t="str">
        <f t="shared" ca="1" si="21"/>
        <v/>
      </c>
      <c r="S170" s="44" t="str">
        <f t="shared" si="17"/>
        <v/>
      </c>
      <c r="T170" s="43" t="str">
        <f>IF($C170="","",SUMIFS(Overview!$G$18:$G$32,Overview!$D$18:$D$32,"&lt;="&amp;$C170,Overview!$E$18:$E$32,"&gt;="&amp;$C170))</f>
        <v/>
      </c>
      <c r="U170" s="43" t="str">
        <f ca="1">IF(OR($C170="",Overview!$I$33=""),"",IF($C170&gt;Overview!$I$33,"",SUM($S$12:S170)))</f>
        <v/>
      </c>
      <c r="V170" s="43" t="str">
        <f>IF($C170="","",SUM($T$12:T170))</f>
        <v/>
      </c>
      <c r="W170" s="45" t="str">
        <f t="shared" ca="1" si="18"/>
        <v/>
      </c>
    </row>
    <row r="171" spans="3:23" x14ac:dyDescent="0.35">
      <c r="C171" s="42" t="str">
        <f>IF(OR(Overview!$D$33="",Overview!$E$33=""),"",IF(Overview!$D$33+159&gt;Overview!$E$33,"",Overview!$D$33+159))</f>
        <v/>
      </c>
      <c r="D171" s="43" t="str">
        <f t="shared" ca="1" si="21"/>
        <v/>
      </c>
      <c r="E171" s="43" t="str">
        <f t="shared" ca="1" si="21"/>
        <v/>
      </c>
      <c r="F171" s="43" t="str">
        <f t="shared" ca="1" si="21"/>
        <v/>
      </c>
      <c r="G171" s="43" t="str">
        <f t="shared" ca="1" si="21"/>
        <v/>
      </c>
      <c r="H171" s="43" t="str">
        <f t="shared" ca="1" si="21"/>
        <v/>
      </c>
      <c r="I171" s="43" t="str">
        <f t="shared" ca="1" si="21"/>
        <v/>
      </c>
      <c r="J171" s="43" t="str">
        <f t="shared" ca="1" si="21"/>
        <v/>
      </c>
      <c r="K171" s="43" t="str">
        <f t="shared" ca="1" si="21"/>
        <v/>
      </c>
      <c r="L171" s="43" t="str">
        <f t="shared" ca="1" si="21"/>
        <v/>
      </c>
      <c r="M171" s="43" t="str">
        <f t="shared" ca="1" si="21"/>
        <v/>
      </c>
      <c r="N171" s="43" t="str">
        <f t="shared" ca="1" si="21"/>
        <v/>
      </c>
      <c r="O171" s="43" t="str">
        <f t="shared" ca="1" si="21"/>
        <v/>
      </c>
      <c r="P171" s="43" t="str">
        <f t="shared" ca="1" si="21"/>
        <v/>
      </c>
      <c r="Q171" s="43" t="str">
        <f t="shared" ca="1" si="21"/>
        <v/>
      </c>
      <c r="R171" s="43" t="str">
        <f t="shared" ca="1" si="21"/>
        <v/>
      </c>
      <c r="S171" s="44" t="str">
        <f t="shared" si="17"/>
        <v/>
      </c>
      <c r="T171" s="43" t="str">
        <f>IF($C171="","",SUMIFS(Overview!$G$18:$G$32,Overview!$D$18:$D$32,"&lt;="&amp;$C171,Overview!$E$18:$E$32,"&gt;="&amp;$C171))</f>
        <v/>
      </c>
      <c r="U171" s="43" t="str">
        <f ca="1">IF(OR($C171="",Overview!$I$33=""),"",IF($C171&gt;Overview!$I$33,"",SUM($S$12:S171)))</f>
        <v/>
      </c>
      <c r="V171" s="43" t="str">
        <f>IF($C171="","",SUM($T$12:T171))</f>
        <v/>
      </c>
      <c r="W171" s="45" t="str">
        <f t="shared" ca="1" si="18"/>
        <v/>
      </c>
    </row>
    <row r="172" spans="3:23" x14ac:dyDescent="0.35">
      <c r="C172" s="42" t="str">
        <f>IF(OR(Overview!$D$33="",Overview!$E$33=""),"",IF(Overview!$D$33+160&gt;Overview!$E$33,"",Overview!$D$33+160))</f>
        <v/>
      </c>
      <c r="D172" s="43" t="str">
        <f t="shared" ref="D172:R181" ca="1" si="22">IF(OR($C172="",D$11=""),"",IFERROR(SUMIFS(INDIRECT("'"&amp;D$11&amp;"'!$F$14:$F$10013"),INDIRECT("'"&amp;D$11&amp;"'!$C$14:$C$10013"),$C172),""))</f>
        <v/>
      </c>
      <c r="E172" s="43" t="str">
        <f t="shared" ca="1" si="22"/>
        <v/>
      </c>
      <c r="F172" s="43" t="str">
        <f t="shared" ca="1" si="22"/>
        <v/>
      </c>
      <c r="G172" s="43" t="str">
        <f t="shared" ca="1" si="22"/>
        <v/>
      </c>
      <c r="H172" s="43" t="str">
        <f t="shared" ca="1" si="22"/>
        <v/>
      </c>
      <c r="I172" s="43" t="str">
        <f t="shared" ca="1" si="22"/>
        <v/>
      </c>
      <c r="J172" s="43" t="str">
        <f t="shared" ca="1" si="22"/>
        <v/>
      </c>
      <c r="K172" s="43" t="str">
        <f t="shared" ca="1" si="22"/>
        <v/>
      </c>
      <c r="L172" s="43" t="str">
        <f t="shared" ca="1" si="22"/>
        <v/>
      </c>
      <c r="M172" s="43" t="str">
        <f t="shared" ca="1" si="22"/>
        <v/>
      </c>
      <c r="N172" s="43" t="str">
        <f t="shared" ca="1" si="22"/>
        <v/>
      </c>
      <c r="O172" s="43" t="str">
        <f t="shared" ca="1" si="22"/>
        <v/>
      </c>
      <c r="P172" s="43" t="str">
        <f t="shared" ca="1" si="22"/>
        <v/>
      </c>
      <c r="Q172" s="43" t="str">
        <f t="shared" ca="1" si="22"/>
        <v/>
      </c>
      <c r="R172" s="43" t="str">
        <f t="shared" ca="1" si="22"/>
        <v/>
      </c>
      <c r="S172" s="44" t="str">
        <f t="shared" si="17"/>
        <v/>
      </c>
      <c r="T172" s="43" t="str">
        <f>IF($C172="","",SUMIFS(Overview!$G$18:$G$32,Overview!$D$18:$D$32,"&lt;="&amp;$C172,Overview!$E$18:$E$32,"&gt;="&amp;$C172))</f>
        <v/>
      </c>
      <c r="U172" s="43" t="str">
        <f ca="1">IF(OR($C172="",Overview!$I$33=""),"",IF($C172&gt;Overview!$I$33,"",SUM($S$12:S172)))</f>
        <v/>
      </c>
      <c r="V172" s="43" t="str">
        <f>IF($C172="","",SUM($T$12:T172))</f>
        <v/>
      </c>
      <c r="W172" s="45" t="str">
        <f t="shared" ca="1" si="18"/>
        <v/>
      </c>
    </row>
    <row r="173" spans="3:23" x14ac:dyDescent="0.35">
      <c r="C173" s="42" t="str">
        <f>IF(OR(Overview!$D$33="",Overview!$E$33=""),"",IF(Overview!$D$33+161&gt;Overview!$E$33,"",Overview!$D$33+161))</f>
        <v/>
      </c>
      <c r="D173" s="43" t="str">
        <f t="shared" ca="1" si="22"/>
        <v/>
      </c>
      <c r="E173" s="43" t="str">
        <f t="shared" ca="1" si="22"/>
        <v/>
      </c>
      <c r="F173" s="43" t="str">
        <f t="shared" ca="1" si="22"/>
        <v/>
      </c>
      <c r="G173" s="43" t="str">
        <f t="shared" ca="1" si="22"/>
        <v/>
      </c>
      <c r="H173" s="43" t="str">
        <f t="shared" ca="1" si="22"/>
        <v/>
      </c>
      <c r="I173" s="43" t="str">
        <f t="shared" ca="1" si="22"/>
        <v/>
      </c>
      <c r="J173" s="43" t="str">
        <f t="shared" ca="1" si="22"/>
        <v/>
      </c>
      <c r="K173" s="43" t="str">
        <f t="shared" ca="1" si="22"/>
        <v/>
      </c>
      <c r="L173" s="43" t="str">
        <f t="shared" ca="1" si="22"/>
        <v/>
      </c>
      <c r="M173" s="43" t="str">
        <f t="shared" ca="1" si="22"/>
        <v/>
      </c>
      <c r="N173" s="43" t="str">
        <f t="shared" ca="1" si="22"/>
        <v/>
      </c>
      <c r="O173" s="43" t="str">
        <f t="shared" ca="1" si="22"/>
        <v/>
      </c>
      <c r="P173" s="43" t="str">
        <f t="shared" ca="1" si="22"/>
        <v/>
      </c>
      <c r="Q173" s="43" t="str">
        <f t="shared" ca="1" si="22"/>
        <v/>
      </c>
      <c r="R173" s="43" t="str">
        <f t="shared" ca="1" si="22"/>
        <v/>
      </c>
      <c r="S173" s="44" t="str">
        <f t="shared" si="17"/>
        <v/>
      </c>
      <c r="T173" s="43" t="str">
        <f>IF($C173="","",SUMIFS(Overview!$G$18:$G$32,Overview!$D$18:$D$32,"&lt;="&amp;$C173,Overview!$E$18:$E$32,"&gt;="&amp;$C173))</f>
        <v/>
      </c>
      <c r="U173" s="43" t="str">
        <f ca="1">IF(OR($C173="",Overview!$I$33=""),"",IF($C173&gt;Overview!$I$33,"",SUM($S$12:S173)))</f>
        <v/>
      </c>
      <c r="V173" s="43" t="str">
        <f>IF($C173="","",SUM($T$12:T173))</f>
        <v/>
      </c>
      <c r="W173" s="45" t="str">
        <f t="shared" ca="1" si="18"/>
        <v/>
      </c>
    </row>
    <row r="174" spans="3:23" x14ac:dyDescent="0.35">
      <c r="C174" s="42" t="str">
        <f>IF(OR(Overview!$D$33="",Overview!$E$33=""),"",IF(Overview!$D$33+162&gt;Overview!$E$33,"",Overview!$D$33+162))</f>
        <v/>
      </c>
      <c r="D174" s="43" t="str">
        <f t="shared" ca="1" si="22"/>
        <v/>
      </c>
      <c r="E174" s="43" t="str">
        <f t="shared" ca="1" si="22"/>
        <v/>
      </c>
      <c r="F174" s="43" t="str">
        <f t="shared" ca="1" si="22"/>
        <v/>
      </c>
      <c r="G174" s="43" t="str">
        <f t="shared" ca="1" si="22"/>
        <v/>
      </c>
      <c r="H174" s="43" t="str">
        <f t="shared" ca="1" si="22"/>
        <v/>
      </c>
      <c r="I174" s="43" t="str">
        <f t="shared" ca="1" si="22"/>
        <v/>
      </c>
      <c r="J174" s="43" t="str">
        <f t="shared" ca="1" si="22"/>
        <v/>
      </c>
      <c r="K174" s="43" t="str">
        <f t="shared" ca="1" si="22"/>
        <v/>
      </c>
      <c r="L174" s="43" t="str">
        <f t="shared" ca="1" si="22"/>
        <v/>
      </c>
      <c r="M174" s="43" t="str">
        <f t="shared" ca="1" si="22"/>
        <v/>
      </c>
      <c r="N174" s="43" t="str">
        <f t="shared" ca="1" si="22"/>
        <v/>
      </c>
      <c r="O174" s="43" t="str">
        <f t="shared" ca="1" si="22"/>
        <v/>
      </c>
      <c r="P174" s="43" t="str">
        <f t="shared" ca="1" si="22"/>
        <v/>
      </c>
      <c r="Q174" s="43" t="str">
        <f t="shared" ca="1" si="22"/>
        <v/>
      </c>
      <c r="R174" s="43" t="str">
        <f t="shared" ca="1" si="22"/>
        <v/>
      </c>
      <c r="S174" s="44" t="str">
        <f t="shared" si="17"/>
        <v/>
      </c>
      <c r="T174" s="43" t="str">
        <f>IF($C174="","",SUMIFS(Overview!$G$18:$G$32,Overview!$D$18:$D$32,"&lt;="&amp;$C174,Overview!$E$18:$E$32,"&gt;="&amp;$C174))</f>
        <v/>
      </c>
      <c r="U174" s="43" t="str">
        <f ca="1">IF(OR($C174="",Overview!$I$33=""),"",IF($C174&gt;Overview!$I$33,"",SUM($S$12:S174)))</f>
        <v/>
      </c>
      <c r="V174" s="43" t="str">
        <f>IF($C174="","",SUM($T$12:T174))</f>
        <v/>
      </c>
      <c r="W174" s="45" t="str">
        <f t="shared" ca="1" si="18"/>
        <v/>
      </c>
    </row>
    <row r="175" spans="3:23" x14ac:dyDescent="0.35">
      <c r="C175" s="42" t="str">
        <f>IF(OR(Overview!$D$33="",Overview!$E$33=""),"",IF(Overview!$D$33+163&gt;Overview!$E$33,"",Overview!$D$33+163))</f>
        <v/>
      </c>
      <c r="D175" s="43" t="str">
        <f t="shared" ca="1" si="22"/>
        <v/>
      </c>
      <c r="E175" s="43" t="str">
        <f t="shared" ca="1" si="22"/>
        <v/>
      </c>
      <c r="F175" s="43" t="str">
        <f t="shared" ca="1" si="22"/>
        <v/>
      </c>
      <c r="G175" s="43" t="str">
        <f t="shared" ca="1" si="22"/>
        <v/>
      </c>
      <c r="H175" s="43" t="str">
        <f t="shared" ca="1" si="22"/>
        <v/>
      </c>
      <c r="I175" s="43" t="str">
        <f t="shared" ca="1" si="22"/>
        <v/>
      </c>
      <c r="J175" s="43" t="str">
        <f t="shared" ca="1" si="22"/>
        <v/>
      </c>
      <c r="K175" s="43" t="str">
        <f t="shared" ca="1" si="22"/>
        <v/>
      </c>
      <c r="L175" s="43" t="str">
        <f t="shared" ca="1" si="22"/>
        <v/>
      </c>
      <c r="M175" s="43" t="str">
        <f t="shared" ca="1" si="22"/>
        <v/>
      </c>
      <c r="N175" s="43" t="str">
        <f t="shared" ca="1" si="22"/>
        <v/>
      </c>
      <c r="O175" s="43" t="str">
        <f t="shared" ca="1" si="22"/>
        <v/>
      </c>
      <c r="P175" s="43" t="str">
        <f t="shared" ca="1" si="22"/>
        <v/>
      </c>
      <c r="Q175" s="43" t="str">
        <f t="shared" ca="1" si="22"/>
        <v/>
      </c>
      <c r="R175" s="43" t="str">
        <f t="shared" ca="1" si="22"/>
        <v/>
      </c>
      <c r="S175" s="44" t="str">
        <f t="shared" si="17"/>
        <v/>
      </c>
      <c r="T175" s="43" t="str">
        <f>IF($C175="","",SUMIFS(Overview!$G$18:$G$32,Overview!$D$18:$D$32,"&lt;="&amp;$C175,Overview!$E$18:$E$32,"&gt;="&amp;$C175))</f>
        <v/>
      </c>
      <c r="U175" s="43" t="str">
        <f ca="1">IF(OR($C175="",Overview!$I$33=""),"",IF($C175&gt;Overview!$I$33,"",SUM($S$12:S175)))</f>
        <v/>
      </c>
      <c r="V175" s="43" t="str">
        <f>IF($C175="","",SUM($T$12:T175))</f>
        <v/>
      </c>
      <c r="W175" s="45" t="str">
        <f t="shared" ca="1" si="18"/>
        <v/>
      </c>
    </row>
    <row r="176" spans="3:23" x14ac:dyDescent="0.35">
      <c r="C176" s="42" t="str">
        <f>IF(OR(Overview!$D$33="",Overview!$E$33=""),"",IF(Overview!$D$33+164&gt;Overview!$E$33,"",Overview!$D$33+164))</f>
        <v/>
      </c>
      <c r="D176" s="43" t="str">
        <f t="shared" ca="1" si="22"/>
        <v/>
      </c>
      <c r="E176" s="43" t="str">
        <f t="shared" ca="1" si="22"/>
        <v/>
      </c>
      <c r="F176" s="43" t="str">
        <f t="shared" ca="1" si="22"/>
        <v/>
      </c>
      <c r="G176" s="43" t="str">
        <f t="shared" ca="1" si="22"/>
        <v/>
      </c>
      <c r="H176" s="43" t="str">
        <f t="shared" ca="1" si="22"/>
        <v/>
      </c>
      <c r="I176" s="43" t="str">
        <f t="shared" ca="1" si="22"/>
        <v/>
      </c>
      <c r="J176" s="43" t="str">
        <f t="shared" ca="1" si="22"/>
        <v/>
      </c>
      <c r="K176" s="43" t="str">
        <f t="shared" ca="1" si="22"/>
        <v/>
      </c>
      <c r="L176" s="43" t="str">
        <f t="shared" ca="1" si="22"/>
        <v/>
      </c>
      <c r="M176" s="43" t="str">
        <f t="shared" ca="1" si="22"/>
        <v/>
      </c>
      <c r="N176" s="43" t="str">
        <f t="shared" ca="1" si="22"/>
        <v/>
      </c>
      <c r="O176" s="43" t="str">
        <f t="shared" ca="1" si="22"/>
        <v/>
      </c>
      <c r="P176" s="43" t="str">
        <f t="shared" ca="1" si="22"/>
        <v/>
      </c>
      <c r="Q176" s="43" t="str">
        <f t="shared" ca="1" si="22"/>
        <v/>
      </c>
      <c r="R176" s="43" t="str">
        <f t="shared" ca="1" si="22"/>
        <v/>
      </c>
      <c r="S176" s="44" t="str">
        <f t="shared" si="17"/>
        <v/>
      </c>
      <c r="T176" s="43" t="str">
        <f>IF($C176="","",SUMIFS(Overview!$G$18:$G$32,Overview!$D$18:$D$32,"&lt;="&amp;$C176,Overview!$E$18:$E$32,"&gt;="&amp;$C176))</f>
        <v/>
      </c>
      <c r="U176" s="43" t="str">
        <f ca="1">IF(OR($C176="",Overview!$I$33=""),"",IF($C176&gt;Overview!$I$33,"",SUM($S$12:S176)))</f>
        <v/>
      </c>
      <c r="V176" s="43" t="str">
        <f>IF($C176="","",SUM($T$12:T176))</f>
        <v/>
      </c>
      <c r="W176" s="45" t="str">
        <f t="shared" ca="1" si="18"/>
        <v/>
      </c>
    </row>
    <row r="177" spans="3:23" x14ac:dyDescent="0.35">
      <c r="C177" s="42" t="str">
        <f>IF(OR(Overview!$D$33="",Overview!$E$33=""),"",IF(Overview!$D$33+165&gt;Overview!$E$33,"",Overview!$D$33+165))</f>
        <v/>
      </c>
      <c r="D177" s="43" t="str">
        <f t="shared" ca="1" si="22"/>
        <v/>
      </c>
      <c r="E177" s="43" t="str">
        <f t="shared" ca="1" si="22"/>
        <v/>
      </c>
      <c r="F177" s="43" t="str">
        <f t="shared" ca="1" si="22"/>
        <v/>
      </c>
      <c r="G177" s="43" t="str">
        <f t="shared" ca="1" si="22"/>
        <v/>
      </c>
      <c r="H177" s="43" t="str">
        <f t="shared" ca="1" si="22"/>
        <v/>
      </c>
      <c r="I177" s="43" t="str">
        <f t="shared" ca="1" si="22"/>
        <v/>
      </c>
      <c r="J177" s="43" t="str">
        <f t="shared" ca="1" si="22"/>
        <v/>
      </c>
      <c r="K177" s="43" t="str">
        <f t="shared" ca="1" si="22"/>
        <v/>
      </c>
      <c r="L177" s="43" t="str">
        <f t="shared" ca="1" si="22"/>
        <v/>
      </c>
      <c r="M177" s="43" t="str">
        <f t="shared" ca="1" si="22"/>
        <v/>
      </c>
      <c r="N177" s="43" t="str">
        <f t="shared" ca="1" si="22"/>
        <v/>
      </c>
      <c r="O177" s="43" t="str">
        <f t="shared" ca="1" si="22"/>
        <v/>
      </c>
      <c r="P177" s="43" t="str">
        <f t="shared" ca="1" si="22"/>
        <v/>
      </c>
      <c r="Q177" s="43" t="str">
        <f t="shared" ca="1" si="22"/>
        <v/>
      </c>
      <c r="R177" s="43" t="str">
        <f t="shared" ca="1" si="22"/>
        <v/>
      </c>
      <c r="S177" s="44" t="str">
        <f t="shared" si="17"/>
        <v/>
      </c>
      <c r="T177" s="43" t="str">
        <f>IF($C177="","",SUMIFS(Overview!$G$18:$G$32,Overview!$D$18:$D$32,"&lt;="&amp;$C177,Overview!$E$18:$E$32,"&gt;="&amp;$C177))</f>
        <v/>
      </c>
      <c r="U177" s="43" t="str">
        <f ca="1">IF(OR($C177="",Overview!$I$33=""),"",IF($C177&gt;Overview!$I$33,"",SUM($S$12:S177)))</f>
        <v/>
      </c>
      <c r="V177" s="43" t="str">
        <f>IF($C177="","",SUM($T$12:T177))</f>
        <v/>
      </c>
      <c r="W177" s="45" t="str">
        <f t="shared" ca="1" si="18"/>
        <v/>
      </c>
    </row>
    <row r="178" spans="3:23" x14ac:dyDescent="0.35">
      <c r="C178" s="42" t="str">
        <f>IF(OR(Overview!$D$33="",Overview!$E$33=""),"",IF(Overview!$D$33+166&gt;Overview!$E$33,"",Overview!$D$33+166))</f>
        <v/>
      </c>
      <c r="D178" s="43" t="str">
        <f t="shared" ca="1" si="22"/>
        <v/>
      </c>
      <c r="E178" s="43" t="str">
        <f t="shared" ca="1" si="22"/>
        <v/>
      </c>
      <c r="F178" s="43" t="str">
        <f t="shared" ca="1" si="22"/>
        <v/>
      </c>
      <c r="G178" s="43" t="str">
        <f t="shared" ca="1" si="22"/>
        <v/>
      </c>
      <c r="H178" s="43" t="str">
        <f t="shared" ca="1" si="22"/>
        <v/>
      </c>
      <c r="I178" s="43" t="str">
        <f t="shared" ca="1" si="22"/>
        <v/>
      </c>
      <c r="J178" s="43" t="str">
        <f t="shared" ca="1" si="22"/>
        <v/>
      </c>
      <c r="K178" s="43" t="str">
        <f t="shared" ca="1" si="22"/>
        <v/>
      </c>
      <c r="L178" s="43" t="str">
        <f t="shared" ca="1" si="22"/>
        <v/>
      </c>
      <c r="M178" s="43" t="str">
        <f t="shared" ca="1" si="22"/>
        <v/>
      </c>
      <c r="N178" s="43" t="str">
        <f t="shared" ca="1" si="22"/>
        <v/>
      </c>
      <c r="O178" s="43" t="str">
        <f t="shared" ca="1" si="22"/>
        <v/>
      </c>
      <c r="P178" s="43" t="str">
        <f t="shared" ca="1" si="22"/>
        <v/>
      </c>
      <c r="Q178" s="43" t="str">
        <f t="shared" ca="1" si="22"/>
        <v/>
      </c>
      <c r="R178" s="43" t="str">
        <f t="shared" ca="1" si="22"/>
        <v/>
      </c>
      <c r="S178" s="44" t="str">
        <f t="shared" si="17"/>
        <v/>
      </c>
      <c r="T178" s="43" t="str">
        <f>IF($C178="","",SUMIFS(Overview!$G$18:$G$32,Overview!$D$18:$D$32,"&lt;="&amp;$C178,Overview!$E$18:$E$32,"&gt;="&amp;$C178))</f>
        <v/>
      </c>
      <c r="U178" s="43" t="str">
        <f ca="1">IF(OR($C178="",Overview!$I$33=""),"",IF($C178&gt;Overview!$I$33,"",SUM($S$12:S178)))</f>
        <v/>
      </c>
      <c r="V178" s="43" t="str">
        <f>IF($C178="","",SUM($T$12:T178))</f>
        <v/>
      </c>
      <c r="W178" s="45" t="str">
        <f t="shared" ca="1" si="18"/>
        <v/>
      </c>
    </row>
    <row r="179" spans="3:23" x14ac:dyDescent="0.35">
      <c r="C179" s="42" t="str">
        <f>IF(OR(Overview!$D$33="",Overview!$E$33=""),"",IF(Overview!$D$33+167&gt;Overview!$E$33,"",Overview!$D$33+167))</f>
        <v/>
      </c>
      <c r="D179" s="43" t="str">
        <f t="shared" ca="1" si="22"/>
        <v/>
      </c>
      <c r="E179" s="43" t="str">
        <f t="shared" ca="1" si="22"/>
        <v/>
      </c>
      <c r="F179" s="43" t="str">
        <f t="shared" ca="1" si="22"/>
        <v/>
      </c>
      <c r="G179" s="43" t="str">
        <f t="shared" ca="1" si="22"/>
        <v/>
      </c>
      <c r="H179" s="43" t="str">
        <f t="shared" ca="1" si="22"/>
        <v/>
      </c>
      <c r="I179" s="43" t="str">
        <f t="shared" ca="1" si="22"/>
        <v/>
      </c>
      <c r="J179" s="43" t="str">
        <f t="shared" ca="1" si="22"/>
        <v/>
      </c>
      <c r="K179" s="43" t="str">
        <f t="shared" ca="1" si="22"/>
        <v/>
      </c>
      <c r="L179" s="43" t="str">
        <f t="shared" ca="1" si="22"/>
        <v/>
      </c>
      <c r="M179" s="43" t="str">
        <f t="shared" ca="1" si="22"/>
        <v/>
      </c>
      <c r="N179" s="43" t="str">
        <f t="shared" ca="1" si="22"/>
        <v/>
      </c>
      <c r="O179" s="43" t="str">
        <f t="shared" ca="1" si="22"/>
        <v/>
      </c>
      <c r="P179" s="43" t="str">
        <f t="shared" ca="1" si="22"/>
        <v/>
      </c>
      <c r="Q179" s="43" t="str">
        <f t="shared" ca="1" si="22"/>
        <v/>
      </c>
      <c r="R179" s="43" t="str">
        <f t="shared" ca="1" si="22"/>
        <v/>
      </c>
      <c r="S179" s="44" t="str">
        <f t="shared" si="17"/>
        <v/>
      </c>
      <c r="T179" s="43" t="str">
        <f>IF($C179="","",SUMIFS(Overview!$G$18:$G$32,Overview!$D$18:$D$32,"&lt;="&amp;$C179,Overview!$E$18:$E$32,"&gt;="&amp;$C179))</f>
        <v/>
      </c>
      <c r="U179" s="43" t="str">
        <f ca="1">IF(OR($C179="",Overview!$I$33=""),"",IF($C179&gt;Overview!$I$33,"",SUM($S$12:S179)))</f>
        <v/>
      </c>
      <c r="V179" s="43" t="str">
        <f>IF($C179="","",SUM($T$12:T179))</f>
        <v/>
      </c>
      <c r="W179" s="45" t="str">
        <f t="shared" ca="1" si="18"/>
        <v/>
      </c>
    </row>
    <row r="180" spans="3:23" x14ac:dyDescent="0.35">
      <c r="C180" s="42" t="str">
        <f>IF(OR(Overview!$D$33="",Overview!$E$33=""),"",IF(Overview!$D$33+168&gt;Overview!$E$33,"",Overview!$D$33+168))</f>
        <v/>
      </c>
      <c r="D180" s="43" t="str">
        <f t="shared" ca="1" si="22"/>
        <v/>
      </c>
      <c r="E180" s="43" t="str">
        <f t="shared" ca="1" si="22"/>
        <v/>
      </c>
      <c r="F180" s="43" t="str">
        <f t="shared" ca="1" si="22"/>
        <v/>
      </c>
      <c r="G180" s="43" t="str">
        <f t="shared" ca="1" si="22"/>
        <v/>
      </c>
      <c r="H180" s="43" t="str">
        <f t="shared" ca="1" si="22"/>
        <v/>
      </c>
      <c r="I180" s="43" t="str">
        <f t="shared" ca="1" si="22"/>
        <v/>
      </c>
      <c r="J180" s="43" t="str">
        <f t="shared" ca="1" si="22"/>
        <v/>
      </c>
      <c r="K180" s="43" t="str">
        <f t="shared" ca="1" si="22"/>
        <v/>
      </c>
      <c r="L180" s="43" t="str">
        <f t="shared" ca="1" si="22"/>
        <v/>
      </c>
      <c r="M180" s="43" t="str">
        <f t="shared" ca="1" si="22"/>
        <v/>
      </c>
      <c r="N180" s="43" t="str">
        <f t="shared" ca="1" si="22"/>
        <v/>
      </c>
      <c r="O180" s="43" t="str">
        <f t="shared" ca="1" si="22"/>
        <v/>
      </c>
      <c r="P180" s="43" t="str">
        <f t="shared" ca="1" si="22"/>
        <v/>
      </c>
      <c r="Q180" s="43" t="str">
        <f t="shared" ca="1" si="22"/>
        <v/>
      </c>
      <c r="R180" s="43" t="str">
        <f t="shared" ca="1" si="22"/>
        <v/>
      </c>
      <c r="S180" s="44" t="str">
        <f t="shared" si="17"/>
        <v/>
      </c>
      <c r="T180" s="43" t="str">
        <f>IF($C180="","",SUMIFS(Overview!$G$18:$G$32,Overview!$D$18:$D$32,"&lt;="&amp;$C180,Overview!$E$18:$E$32,"&gt;="&amp;$C180))</f>
        <v/>
      </c>
      <c r="U180" s="43" t="str">
        <f ca="1">IF(OR($C180="",Overview!$I$33=""),"",IF($C180&gt;Overview!$I$33,"",SUM($S$12:S180)))</f>
        <v/>
      </c>
      <c r="V180" s="43" t="str">
        <f>IF($C180="","",SUM($T$12:T180))</f>
        <v/>
      </c>
      <c r="W180" s="45" t="str">
        <f t="shared" ca="1" si="18"/>
        <v/>
      </c>
    </row>
    <row r="181" spans="3:23" x14ac:dyDescent="0.35">
      <c r="C181" s="42" t="str">
        <f>IF(OR(Overview!$D$33="",Overview!$E$33=""),"",IF(Overview!$D$33+169&gt;Overview!$E$33,"",Overview!$D$33+169))</f>
        <v/>
      </c>
      <c r="D181" s="43" t="str">
        <f t="shared" ca="1" si="22"/>
        <v/>
      </c>
      <c r="E181" s="43" t="str">
        <f t="shared" ca="1" si="22"/>
        <v/>
      </c>
      <c r="F181" s="43" t="str">
        <f t="shared" ca="1" si="22"/>
        <v/>
      </c>
      <c r="G181" s="43" t="str">
        <f t="shared" ca="1" si="22"/>
        <v/>
      </c>
      <c r="H181" s="43" t="str">
        <f t="shared" ca="1" si="22"/>
        <v/>
      </c>
      <c r="I181" s="43" t="str">
        <f t="shared" ca="1" si="22"/>
        <v/>
      </c>
      <c r="J181" s="43" t="str">
        <f t="shared" ca="1" si="22"/>
        <v/>
      </c>
      <c r="K181" s="43" t="str">
        <f t="shared" ca="1" si="22"/>
        <v/>
      </c>
      <c r="L181" s="43" t="str">
        <f t="shared" ca="1" si="22"/>
        <v/>
      </c>
      <c r="M181" s="43" t="str">
        <f t="shared" ca="1" si="22"/>
        <v/>
      </c>
      <c r="N181" s="43" t="str">
        <f t="shared" ca="1" si="22"/>
        <v/>
      </c>
      <c r="O181" s="43" t="str">
        <f t="shared" ca="1" si="22"/>
        <v/>
      </c>
      <c r="P181" s="43" t="str">
        <f t="shared" ca="1" si="22"/>
        <v/>
      </c>
      <c r="Q181" s="43" t="str">
        <f t="shared" ca="1" si="22"/>
        <v/>
      </c>
      <c r="R181" s="43" t="str">
        <f t="shared" ca="1" si="22"/>
        <v/>
      </c>
      <c r="S181" s="44" t="str">
        <f t="shared" si="17"/>
        <v/>
      </c>
      <c r="T181" s="43" t="str">
        <f>IF($C181="","",SUMIFS(Overview!$G$18:$G$32,Overview!$D$18:$D$32,"&lt;="&amp;$C181,Overview!$E$18:$E$32,"&gt;="&amp;$C181))</f>
        <v/>
      </c>
      <c r="U181" s="43" t="str">
        <f ca="1">IF(OR($C181="",Overview!$I$33=""),"",IF($C181&gt;Overview!$I$33,"",SUM($S$12:S181)))</f>
        <v/>
      </c>
      <c r="V181" s="43" t="str">
        <f>IF($C181="","",SUM($T$12:T181))</f>
        <v/>
      </c>
      <c r="W181" s="45" t="str">
        <f t="shared" ca="1" si="18"/>
        <v/>
      </c>
    </row>
    <row r="182" spans="3:23" x14ac:dyDescent="0.35">
      <c r="C182" s="42" t="str">
        <f>IF(OR(Overview!$D$33="",Overview!$E$33=""),"",IF(Overview!$D$33+170&gt;Overview!$E$33,"",Overview!$D$33+170))</f>
        <v/>
      </c>
      <c r="D182" s="43" t="str">
        <f t="shared" ref="D182:R191" ca="1" si="23">IF(OR($C182="",D$11=""),"",IFERROR(SUMIFS(INDIRECT("'"&amp;D$11&amp;"'!$F$14:$F$10013"),INDIRECT("'"&amp;D$11&amp;"'!$C$14:$C$10013"),$C182),""))</f>
        <v/>
      </c>
      <c r="E182" s="43" t="str">
        <f t="shared" ca="1" si="23"/>
        <v/>
      </c>
      <c r="F182" s="43" t="str">
        <f t="shared" ca="1" si="23"/>
        <v/>
      </c>
      <c r="G182" s="43" t="str">
        <f t="shared" ca="1" si="23"/>
        <v/>
      </c>
      <c r="H182" s="43" t="str">
        <f t="shared" ca="1" si="23"/>
        <v/>
      </c>
      <c r="I182" s="43" t="str">
        <f t="shared" ca="1" si="23"/>
        <v/>
      </c>
      <c r="J182" s="43" t="str">
        <f t="shared" ca="1" si="23"/>
        <v/>
      </c>
      <c r="K182" s="43" t="str">
        <f t="shared" ca="1" si="23"/>
        <v/>
      </c>
      <c r="L182" s="43" t="str">
        <f t="shared" ca="1" si="23"/>
        <v/>
      </c>
      <c r="M182" s="43" t="str">
        <f t="shared" ca="1" si="23"/>
        <v/>
      </c>
      <c r="N182" s="43" t="str">
        <f t="shared" ca="1" si="23"/>
        <v/>
      </c>
      <c r="O182" s="43" t="str">
        <f t="shared" ca="1" si="23"/>
        <v/>
      </c>
      <c r="P182" s="43" t="str">
        <f t="shared" ca="1" si="23"/>
        <v/>
      </c>
      <c r="Q182" s="43" t="str">
        <f t="shared" ca="1" si="23"/>
        <v/>
      </c>
      <c r="R182" s="43" t="str">
        <f t="shared" ca="1" si="23"/>
        <v/>
      </c>
      <c r="S182" s="44" t="str">
        <f t="shared" si="17"/>
        <v/>
      </c>
      <c r="T182" s="43" t="str">
        <f>IF($C182="","",SUMIFS(Overview!$G$18:$G$32,Overview!$D$18:$D$32,"&lt;="&amp;$C182,Overview!$E$18:$E$32,"&gt;="&amp;$C182))</f>
        <v/>
      </c>
      <c r="U182" s="43" t="str">
        <f ca="1">IF(OR($C182="",Overview!$I$33=""),"",IF($C182&gt;Overview!$I$33,"",SUM($S$12:S182)))</f>
        <v/>
      </c>
      <c r="V182" s="43" t="str">
        <f>IF($C182="","",SUM($T$12:T182))</f>
        <v/>
      </c>
      <c r="W182" s="45" t="str">
        <f t="shared" ca="1" si="18"/>
        <v/>
      </c>
    </row>
    <row r="183" spans="3:23" x14ac:dyDescent="0.35">
      <c r="C183" s="42" t="str">
        <f>IF(OR(Overview!$D$33="",Overview!$E$33=""),"",IF(Overview!$D$33+171&gt;Overview!$E$33,"",Overview!$D$33+171))</f>
        <v/>
      </c>
      <c r="D183" s="43" t="str">
        <f t="shared" ca="1" si="23"/>
        <v/>
      </c>
      <c r="E183" s="43" t="str">
        <f t="shared" ca="1" si="23"/>
        <v/>
      </c>
      <c r="F183" s="43" t="str">
        <f t="shared" ca="1" si="23"/>
        <v/>
      </c>
      <c r="G183" s="43" t="str">
        <f t="shared" ca="1" si="23"/>
        <v/>
      </c>
      <c r="H183" s="43" t="str">
        <f t="shared" ca="1" si="23"/>
        <v/>
      </c>
      <c r="I183" s="43" t="str">
        <f t="shared" ca="1" si="23"/>
        <v/>
      </c>
      <c r="J183" s="43" t="str">
        <f t="shared" ca="1" si="23"/>
        <v/>
      </c>
      <c r="K183" s="43" t="str">
        <f t="shared" ca="1" si="23"/>
        <v/>
      </c>
      <c r="L183" s="43" t="str">
        <f t="shared" ca="1" si="23"/>
        <v/>
      </c>
      <c r="M183" s="43" t="str">
        <f t="shared" ca="1" si="23"/>
        <v/>
      </c>
      <c r="N183" s="43" t="str">
        <f t="shared" ca="1" si="23"/>
        <v/>
      </c>
      <c r="O183" s="43" t="str">
        <f t="shared" ca="1" si="23"/>
        <v/>
      </c>
      <c r="P183" s="43" t="str">
        <f t="shared" ca="1" si="23"/>
        <v/>
      </c>
      <c r="Q183" s="43" t="str">
        <f t="shared" ca="1" si="23"/>
        <v/>
      </c>
      <c r="R183" s="43" t="str">
        <f t="shared" ca="1" si="23"/>
        <v/>
      </c>
      <c r="S183" s="44" t="str">
        <f t="shared" si="17"/>
        <v/>
      </c>
      <c r="T183" s="43" t="str">
        <f>IF($C183="","",SUMIFS(Overview!$G$18:$G$32,Overview!$D$18:$D$32,"&lt;="&amp;$C183,Overview!$E$18:$E$32,"&gt;="&amp;$C183))</f>
        <v/>
      </c>
      <c r="U183" s="43" t="str">
        <f ca="1">IF(OR($C183="",Overview!$I$33=""),"",IF($C183&gt;Overview!$I$33,"",SUM($S$12:S183)))</f>
        <v/>
      </c>
      <c r="V183" s="43" t="str">
        <f>IF($C183="","",SUM($T$12:T183))</f>
        <v/>
      </c>
      <c r="W183" s="45" t="str">
        <f t="shared" ca="1" si="18"/>
        <v/>
      </c>
    </row>
    <row r="184" spans="3:23" x14ac:dyDescent="0.35">
      <c r="C184" s="42" t="str">
        <f>IF(OR(Overview!$D$33="",Overview!$E$33=""),"",IF(Overview!$D$33+172&gt;Overview!$E$33,"",Overview!$D$33+172))</f>
        <v/>
      </c>
      <c r="D184" s="43" t="str">
        <f t="shared" ca="1" si="23"/>
        <v/>
      </c>
      <c r="E184" s="43" t="str">
        <f t="shared" ca="1" si="23"/>
        <v/>
      </c>
      <c r="F184" s="43" t="str">
        <f t="shared" ca="1" si="23"/>
        <v/>
      </c>
      <c r="G184" s="43" t="str">
        <f t="shared" ca="1" si="23"/>
        <v/>
      </c>
      <c r="H184" s="43" t="str">
        <f t="shared" ca="1" si="23"/>
        <v/>
      </c>
      <c r="I184" s="43" t="str">
        <f t="shared" ca="1" si="23"/>
        <v/>
      </c>
      <c r="J184" s="43" t="str">
        <f t="shared" ca="1" si="23"/>
        <v/>
      </c>
      <c r="K184" s="43" t="str">
        <f t="shared" ca="1" si="23"/>
        <v/>
      </c>
      <c r="L184" s="43" t="str">
        <f t="shared" ca="1" si="23"/>
        <v/>
      </c>
      <c r="M184" s="43" t="str">
        <f t="shared" ca="1" si="23"/>
        <v/>
      </c>
      <c r="N184" s="43" t="str">
        <f t="shared" ca="1" si="23"/>
        <v/>
      </c>
      <c r="O184" s="43" t="str">
        <f t="shared" ca="1" si="23"/>
        <v/>
      </c>
      <c r="P184" s="43" t="str">
        <f t="shared" ca="1" si="23"/>
        <v/>
      </c>
      <c r="Q184" s="43" t="str">
        <f t="shared" ca="1" si="23"/>
        <v/>
      </c>
      <c r="R184" s="43" t="str">
        <f t="shared" ca="1" si="23"/>
        <v/>
      </c>
      <c r="S184" s="44" t="str">
        <f t="shared" si="17"/>
        <v/>
      </c>
      <c r="T184" s="43" t="str">
        <f>IF($C184="","",SUMIFS(Overview!$G$18:$G$32,Overview!$D$18:$D$32,"&lt;="&amp;$C184,Overview!$E$18:$E$32,"&gt;="&amp;$C184))</f>
        <v/>
      </c>
      <c r="U184" s="43" t="str">
        <f ca="1">IF(OR($C184="",Overview!$I$33=""),"",IF($C184&gt;Overview!$I$33,"",SUM($S$12:S184)))</f>
        <v/>
      </c>
      <c r="V184" s="43" t="str">
        <f>IF($C184="","",SUM($T$12:T184))</f>
        <v/>
      </c>
      <c r="W184" s="45" t="str">
        <f t="shared" ca="1" si="18"/>
        <v/>
      </c>
    </row>
    <row r="185" spans="3:23" x14ac:dyDescent="0.35">
      <c r="C185" s="42" t="str">
        <f>IF(OR(Overview!$D$33="",Overview!$E$33=""),"",IF(Overview!$D$33+173&gt;Overview!$E$33,"",Overview!$D$33+173))</f>
        <v/>
      </c>
      <c r="D185" s="43" t="str">
        <f t="shared" ca="1" si="23"/>
        <v/>
      </c>
      <c r="E185" s="43" t="str">
        <f t="shared" ca="1" si="23"/>
        <v/>
      </c>
      <c r="F185" s="43" t="str">
        <f t="shared" ca="1" si="23"/>
        <v/>
      </c>
      <c r="G185" s="43" t="str">
        <f t="shared" ca="1" si="23"/>
        <v/>
      </c>
      <c r="H185" s="43" t="str">
        <f t="shared" ca="1" si="23"/>
        <v/>
      </c>
      <c r="I185" s="43" t="str">
        <f t="shared" ca="1" si="23"/>
        <v/>
      </c>
      <c r="J185" s="43" t="str">
        <f t="shared" ca="1" si="23"/>
        <v/>
      </c>
      <c r="K185" s="43" t="str">
        <f t="shared" ca="1" si="23"/>
        <v/>
      </c>
      <c r="L185" s="43" t="str">
        <f t="shared" ca="1" si="23"/>
        <v/>
      </c>
      <c r="M185" s="43" t="str">
        <f t="shared" ca="1" si="23"/>
        <v/>
      </c>
      <c r="N185" s="43" t="str">
        <f t="shared" ca="1" si="23"/>
        <v/>
      </c>
      <c r="O185" s="43" t="str">
        <f t="shared" ca="1" si="23"/>
        <v/>
      </c>
      <c r="P185" s="43" t="str">
        <f t="shared" ca="1" si="23"/>
        <v/>
      </c>
      <c r="Q185" s="43" t="str">
        <f t="shared" ca="1" si="23"/>
        <v/>
      </c>
      <c r="R185" s="43" t="str">
        <f t="shared" ca="1" si="23"/>
        <v/>
      </c>
      <c r="S185" s="44" t="str">
        <f t="shared" si="17"/>
        <v/>
      </c>
      <c r="T185" s="43" t="str">
        <f>IF($C185="","",SUMIFS(Overview!$G$18:$G$32,Overview!$D$18:$D$32,"&lt;="&amp;$C185,Overview!$E$18:$E$32,"&gt;="&amp;$C185))</f>
        <v/>
      </c>
      <c r="U185" s="43" t="str">
        <f ca="1">IF(OR($C185="",Overview!$I$33=""),"",IF($C185&gt;Overview!$I$33,"",SUM($S$12:S185)))</f>
        <v/>
      </c>
      <c r="V185" s="43" t="str">
        <f>IF($C185="","",SUM($T$12:T185))</f>
        <v/>
      </c>
      <c r="W185" s="45" t="str">
        <f t="shared" ca="1" si="18"/>
        <v/>
      </c>
    </row>
    <row r="186" spans="3:23" x14ac:dyDescent="0.35">
      <c r="C186" s="42" t="str">
        <f>IF(OR(Overview!$D$33="",Overview!$E$33=""),"",IF(Overview!$D$33+174&gt;Overview!$E$33,"",Overview!$D$33+174))</f>
        <v/>
      </c>
      <c r="D186" s="43" t="str">
        <f t="shared" ca="1" si="23"/>
        <v/>
      </c>
      <c r="E186" s="43" t="str">
        <f t="shared" ca="1" si="23"/>
        <v/>
      </c>
      <c r="F186" s="43" t="str">
        <f t="shared" ca="1" si="23"/>
        <v/>
      </c>
      <c r="G186" s="43" t="str">
        <f t="shared" ca="1" si="23"/>
        <v/>
      </c>
      <c r="H186" s="43" t="str">
        <f t="shared" ca="1" si="23"/>
        <v/>
      </c>
      <c r="I186" s="43" t="str">
        <f t="shared" ca="1" si="23"/>
        <v/>
      </c>
      <c r="J186" s="43" t="str">
        <f t="shared" ca="1" si="23"/>
        <v/>
      </c>
      <c r="K186" s="43" t="str">
        <f t="shared" ca="1" si="23"/>
        <v/>
      </c>
      <c r="L186" s="43" t="str">
        <f t="shared" ca="1" si="23"/>
        <v/>
      </c>
      <c r="M186" s="43" t="str">
        <f t="shared" ca="1" si="23"/>
        <v/>
      </c>
      <c r="N186" s="43" t="str">
        <f t="shared" ca="1" si="23"/>
        <v/>
      </c>
      <c r="O186" s="43" t="str">
        <f t="shared" ca="1" si="23"/>
        <v/>
      </c>
      <c r="P186" s="43" t="str">
        <f t="shared" ca="1" si="23"/>
        <v/>
      </c>
      <c r="Q186" s="43" t="str">
        <f t="shared" ca="1" si="23"/>
        <v/>
      </c>
      <c r="R186" s="43" t="str">
        <f t="shared" ca="1" si="23"/>
        <v/>
      </c>
      <c r="S186" s="44" t="str">
        <f t="shared" si="17"/>
        <v/>
      </c>
      <c r="T186" s="43" t="str">
        <f>IF($C186="","",SUMIFS(Overview!$G$18:$G$32,Overview!$D$18:$D$32,"&lt;="&amp;$C186,Overview!$E$18:$E$32,"&gt;="&amp;$C186))</f>
        <v/>
      </c>
      <c r="U186" s="43" t="str">
        <f ca="1">IF(OR($C186="",Overview!$I$33=""),"",IF($C186&gt;Overview!$I$33,"",SUM($S$12:S186)))</f>
        <v/>
      </c>
      <c r="V186" s="43" t="str">
        <f>IF($C186="","",SUM($T$12:T186))</f>
        <v/>
      </c>
      <c r="W186" s="45" t="str">
        <f t="shared" ca="1" si="18"/>
        <v/>
      </c>
    </row>
    <row r="187" spans="3:23" x14ac:dyDescent="0.35">
      <c r="C187" s="42" t="str">
        <f>IF(OR(Overview!$D$33="",Overview!$E$33=""),"",IF(Overview!$D$33+175&gt;Overview!$E$33,"",Overview!$D$33+175))</f>
        <v/>
      </c>
      <c r="D187" s="43" t="str">
        <f t="shared" ca="1" si="23"/>
        <v/>
      </c>
      <c r="E187" s="43" t="str">
        <f t="shared" ca="1" si="23"/>
        <v/>
      </c>
      <c r="F187" s="43" t="str">
        <f t="shared" ca="1" si="23"/>
        <v/>
      </c>
      <c r="G187" s="43" t="str">
        <f t="shared" ca="1" si="23"/>
        <v/>
      </c>
      <c r="H187" s="43" t="str">
        <f t="shared" ca="1" si="23"/>
        <v/>
      </c>
      <c r="I187" s="43" t="str">
        <f t="shared" ca="1" si="23"/>
        <v/>
      </c>
      <c r="J187" s="43" t="str">
        <f t="shared" ca="1" si="23"/>
        <v/>
      </c>
      <c r="K187" s="43" t="str">
        <f t="shared" ca="1" si="23"/>
        <v/>
      </c>
      <c r="L187" s="43" t="str">
        <f t="shared" ca="1" si="23"/>
        <v/>
      </c>
      <c r="M187" s="43" t="str">
        <f t="shared" ca="1" si="23"/>
        <v/>
      </c>
      <c r="N187" s="43" t="str">
        <f t="shared" ca="1" si="23"/>
        <v/>
      </c>
      <c r="O187" s="43" t="str">
        <f t="shared" ca="1" si="23"/>
        <v/>
      </c>
      <c r="P187" s="43" t="str">
        <f t="shared" ca="1" si="23"/>
        <v/>
      </c>
      <c r="Q187" s="43" t="str">
        <f t="shared" ca="1" si="23"/>
        <v/>
      </c>
      <c r="R187" s="43" t="str">
        <f t="shared" ca="1" si="23"/>
        <v/>
      </c>
      <c r="S187" s="44" t="str">
        <f t="shared" si="17"/>
        <v/>
      </c>
      <c r="T187" s="43" t="str">
        <f>IF($C187="","",SUMIFS(Overview!$G$18:$G$32,Overview!$D$18:$D$32,"&lt;="&amp;$C187,Overview!$E$18:$E$32,"&gt;="&amp;$C187))</f>
        <v/>
      </c>
      <c r="U187" s="43" t="str">
        <f ca="1">IF(OR($C187="",Overview!$I$33=""),"",IF($C187&gt;Overview!$I$33,"",SUM($S$12:S187)))</f>
        <v/>
      </c>
      <c r="V187" s="43" t="str">
        <f>IF($C187="","",SUM($T$12:T187))</f>
        <v/>
      </c>
      <c r="W187" s="45" t="str">
        <f t="shared" ca="1" si="18"/>
        <v/>
      </c>
    </row>
    <row r="188" spans="3:23" x14ac:dyDescent="0.35">
      <c r="C188" s="42" t="str">
        <f>IF(OR(Overview!$D$33="",Overview!$E$33=""),"",IF(Overview!$D$33+176&gt;Overview!$E$33,"",Overview!$D$33+176))</f>
        <v/>
      </c>
      <c r="D188" s="43" t="str">
        <f t="shared" ca="1" si="23"/>
        <v/>
      </c>
      <c r="E188" s="43" t="str">
        <f t="shared" ca="1" si="23"/>
        <v/>
      </c>
      <c r="F188" s="43" t="str">
        <f t="shared" ca="1" si="23"/>
        <v/>
      </c>
      <c r="G188" s="43" t="str">
        <f t="shared" ca="1" si="23"/>
        <v/>
      </c>
      <c r="H188" s="43" t="str">
        <f t="shared" ca="1" si="23"/>
        <v/>
      </c>
      <c r="I188" s="43" t="str">
        <f t="shared" ca="1" si="23"/>
        <v/>
      </c>
      <c r="J188" s="43" t="str">
        <f t="shared" ca="1" si="23"/>
        <v/>
      </c>
      <c r="K188" s="43" t="str">
        <f t="shared" ca="1" si="23"/>
        <v/>
      </c>
      <c r="L188" s="43" t="str">
        <f t="shared" ca="1" si="23"/>
        <v/>
      </c>
      <c r="M188" s="43" t="str">
        <f t="shared" ca="1" si="23"/>
        <v/>
      </c>
      <c r="N188" s="43" t="str">
        <f t="shared" ca="1" si="23"/>
        <v/>
      </c>
      <c r="O188" s="43" t="str">
        <f t="shared" ca="1" si="23"/>
        <v/>
      </c>
      <c r="P188" s="43" t="str">
        <f t="shared" ca="1" si="23"/>
        <v/>
      </c>
      <c r="Q188" s="43" t="str">
        <f t="shared" ca="1" si="23"/>
        <v/>
      </c>
      <c r="R188" s="43" t="str">
        <f t="shared" ca="1" si="23"/>
        <v/>
      </c>
      <c r="S188" s="44" t="str">
        <f t="shared" si="17"/>
        <v/>
      </c>
      <c r="T188" s="43" t="str">
        <f>IF($C188="","",SUMIFS(Overview!$G$18:$G$32,Overview!$D$18:$D$32,"&lt;="&amp;$C188,Overview!$E$18:$E$32,"&gt;="&amp;$C188))</f>
        <v/>
      </c>
      <c r="U188" s="43" t="str">
        <f ca="1">IF(OR($C188="",Overview!$I$33=""),"",IF($C188&gt;Overview!$I$33,"",SUM($S$12:S188)))</f>
        <v/>
      </c>
      <c r="V188" s="43" t="str">
        <f>IF($C188="","",SUM($T$12:T188))</f>
        <v/>
      </c>
      <c r="W188" s="45" t="str">
        <f t="shared" ca="1" si="18"/>
        <v/>
      </c>
    </row>
    <row r="189" spans="3:23" x14ac:dyDescent="0.35">
      <c r="C189" s="42" t="str">
        <f>IF(OR(Overview!$D$33="",Overview!$E$33=""),"",IF(Overview!$D$33+177&gt;Overview!$E$33,"",Overview!$D$33+177))</f>
        <v/>
      </c>
      <c r="D189" s="43" t="str">
        <f t="shared" ca="1" si="23"/>
        <v/>
      </c>
      <c r="E189" s="43" t="str">
        <f t="shared" ca="1" si="23"/>
        <v/>
      </c>
      <c r="F189" s="43" t="str">
        <f t="shared" ca="1" si="23"/>
        <v/>
      </c>
      <c r="G189" s="43" t="str">
        <f t="shared" ca="1" si="23"/>
        <v/>
      </c>
      <c r="H189" s="43" t="str">
        <f t="shared" ca="1" si="23"/>
        <v/>
      </c>
      <c r="I189" s="43" t="str">
        <f t="shared" ca="1" si="23"/>
        <v/>
      </c>
      <c r="J189" s="43" t="str">
        <f t="shared" ca="1" si="23"/>
        <v/>
      </c>
      <c r="K189" s="43" t="str">
        <f t="shared" ca="1" si="23"/>
        <v/>
      </c>
      <c r="L189" s="43" t="str">
        <f t="shared" ca="1" si="23"/>
        <v/>
      </c>
      <c r="M189" s="43" t="str">
        <f t="shared" ca="1" si="23"/>
        <v/>
      </c>
      <c r="N189" s="43" t="str">
        <f t="shared" ca="1" si="23"/>
        <v/>
      </c>
      <c r="O189" s="43" t="str">
        <f t="shared" ca="1" si="23"/>
        <v/>
      </c>
      <c r="P189" s="43" t="str">
        <f t="shared" ca="1" si="23"/>
        <v/>
      </c>
      <c r="Q189" s="43" t="str">
        <f t="shared" ca="1" si="23"/>
        <v/>
      </c>
      <c r="R189" s="43" t="str">
        <f t="shared" ca="1" si="23"/>
        <v/>
      </c>
      <c r="S189" s="44" t="str">
        <f t="shared" si="17"/>
        <v/>
      </c>
      <c r="T189" s="43" t="str">
        <f>IF($C189="","",SUMIFS(Overview!$G$18:$G$32,Overview!$D$18:$D$32,"&lt;="&amp;$C189,Overview!$E$18:$E$32,"&gt;="&amp;$C189))</f>
        <v/>
      </c>
      <c r="U189" s="43" t="str">
        <f ca="1">IF(OR($C189="",Overview!$I$33=""),"",IF($C189&gt;Overview!$I$33,"",SUM($S$12:S189)))</f>
        <v/>
      </c>
      <c r="V189" s="43" t="str">
        <f>IF($C189="","",SUM($T$12:T189))</f>
        <v/>
      </c>
      <c r="W189" s="45" t="str">
        <f t="shared" ca="1" si="18"/>
        <v/>
      </c>
    </row>
    <row r="190" spans="3:23" x14ac:dyDescent="0.35">
      <c r="C190" s="42" t="str">
        <f>IF(OR(Overview!$D$33="",Overview!$E$33=""),"",IF(Overview!$D$33+178&gt;Overview!$E$33,"",Overview!$D$33+178))</f>
        <v/>
      </c>
      <c r="D190" s="43" t="str">
        <f t="shared" ca="1" si="23"/>
        <v/>
      </c>
      <c r="E190" s="43" t="str">
        <f t="shared" ca="1" si="23"/>
        <v/>
      </c>
      <c r="F190" s="43" t="str">
        <f t="shared" ca="1" si="23"/>
        <v/>
      </c>
      <c r="G190" s="43" t="str">
        <f t="shared" ca="1" si="23"/>
        <v/>
      </c>
      <c r="H190" s="43" t="str">
        <f t="shared" ca="1" si="23"/>
        <v/>
      </c>
      <c r="I190" s="43" t="str">
        <f t="shared" ca="1" si="23"/>
        <v/>
      </c>
      <c r="J190" s="43" t="str">
        <f t="shared" ca="1" si="23"/>
        <v/>
      </c>
      <c r="K190" s="43" t="str">
        <f t="shared" ca="1" si="23"/>
        <v/>
      </c>
      <c r="L190" s="43" t="str">
        <f t="shared" ca="1" si="23"/>
        <v/>
      </c>
      <c r="M190" s="43" t="str">
        <f t="shared" ca="1" si="23"/>
        <v/>
      </c>
      <c r="N190" s="43" t="str">
        <f t="shared" ca="1" si="23"/>
        <v/>
      </c>
      <c r="O190" s="43" t="str">
        <f t="shared" ca="1" si="23"/>
        <v/>
      </c>
      <c r="P190" s="43" t="str">
        <f t="shared" ca="1" si="23"/>
        <v/>
      </c>
      <c r="Q190" s="43" t="str">
        <f t="shared" ca="1" si="23"/>
        <v/>
      </c>
      <c r="R190" s="43" t="str">
        <f t="shared" ca="1" si="23"/>
        <v/>
      </c>
      <c r="S190" s="44" t="str">
        <f t="shared" si="17"/>
        <v/>
      </c>
      <c r="T190" s="43" t="str">
        <f>IF($C190="","",SUMIFS(Overview!$G$18:$G$32,Overview!$D$18:$D$32,"&lt;="&amp;$C190,Overview!$E$18:$E$32,"&gt;="&amp;$C190))</f>
        <v/>
      </c>
      <c r="U190" s="43" t="str">
        <f ca="1">IF(OR($C190="",Overview!$I$33=""),"",IF($C190&gt;Overview!$I$33,"",SUM($S$12:S190)))</f>
        <v/>
      </c>
      <c r="V190" s="43" t="str">
        <f>IF($C190="","",SUM($T$12:T190))</f>
        <v/>
      </c>
      <c r="W190" s="45" t="str">
        <f t="shared" ca="1" si="18"/>
        <v/>
      </c>
    </row>
    <row r="191" spans="3:23" x14ac:dyDescent="0.35">
      <c r="C191" s="42" t="str">
        <f>IF(OR(Overview!$D$33="",Overview!$E$33=""),"",IF(Overview!$D$33+179&gt;Overview!$E$33,"",Overview!$D$33+179))</f>
        <v/>
      </c>
      <c r="D191" s="43" t="str">
        <f t="shared" ca="1" si="23"/>
        <v/>
      </c>
      <c r="E191" s="43" t="str">
        <f t="shared" ca="1" si="23"/>
        <v/>
      </c>
      <c r="F191" s="43" t="str">
        <f t="shared" ca="1" si="23"/>
        <v/>
      </c>
      <c r="G191" s="43" t="str">
        <f t="shared" ca="1" si="23"/>
        <v/>
      </c>
      <c r="H191" s="43" t="str">
        <f t="shared" ca="1" si="23"/>
        <v/>
      </c>
      <c r="I191" s="43" t="str">
        <f t="shared" ca="1" si="23"/>
        <v/>
      </c>
      <c r="J191" s="43" t="str">
        <f t="shared" ca="1" si="23"/>
        <v/>
      </c>
      <c r="K191" s="43" t="str">
        <f t="shared" ca="1" si="23"/>
        <v/>
      </c>
      <c r="L191" s="43" t="str">
        <f t="shared" ca="1" si="23"/>
        <v/>
      </c>
      <c r="M191" s="43" t="str">
        <f t="shared" ca="1" si="23"/>
        <v/>
      </c>
      <c r="N191" s="43" t="str">
        <f t="shared" ca="1" si="23"/>
        <v/>
      </c>
      <c r="O191" s="43" t="str">
        <f t="shared" ca="1" si="23"/>
        <v/>
      </c>
      <c r="P191" s="43" t="str">
        <f t="shared" ca="1" si="23"/>
        <v/>
      </c>
      <c r="Q191" s="43" t="str">
        <f t="shared" ca="1" si="23"/>
        <v/>
      </c>
      <c r="R191" s="43" t="str">
        <f t="shared" ca="1" si="23"/>
        <v/>
      </c>
      <c r="S191" s="44" t="str">
        <f t="shared" si="17"/>
        <v/>
      </c>
      <c r="T191" s="43" t="str">
        <f>IF($C191="","",SUMIFS(Overview!$G$18:$G$32,Overview!$D$18:$D$32,"&lt;="&amp;$C191,Overview!$E$18:$E$32,"&gt;="&amp;$C191))</f>
        <v/>
      </c>
      <c r="U191" s="43" t="str">
        <f ca="1">IF(OR($C191="",Overview!$I$33=""),"",IF($C191&gt;Overview!$I$33,"",SUM($S$12:S191)))</f>
        <v/>
      </c>
      <c r="V191" s="43" t="str">
        <f>IF($C191="","",SUM($T$12:T191))</f>
        <v/>
      </c>
      <c r="W191" s="45" t="str">
        <f t="shared" ca="1" si="18"/>
        <v/>
      </c>
    </row>
    <row r="192" spans="3:23" x14ac:dyDescent="0.35">
      <c r="C192" s="42" t="str">
        <f>IF(OR(Overview!$D$33="",Overview!$E$33=""),"",IF(Overview!$D$33+180&gt;Overview!$E$33,"",Overview!$D$33+180))</f>
        <v/>
      </c>
      <c r="D192" s="43" t="str">
        <f t="shared" ref="D192:R201" ca="1" si="24">IF(OR($C192="",D$11=""),"",IFERROR(SUMIFS(INDIRECT("'"&amp;D$11&amp;"'!$F$14:$F$10013"),INDIRECT("'"&amp;D$11&amp;"'!$C$14:$C$10013"),$C192),""))</f>
        <v/>
      </c>
      <c r="E192" s="43" t="str">
        <f t="shared" ca="1" si="24"/>
        <v/>
      </c>
      <c r="F192" s="43" t="str">
        <f t="shared" ca="1" si="24"/>
        <v/>
      </c>
      <c r="G192" s="43" t="str">
        <f t="shared" ca="1" si="24"/>
        <v/>
      </c>
      <c r="H192" s="43" t="str">
        <f t="shared" ca="1" si="24"/>
        <v/>
      </c>
      <c r="I192" s="43" t="str">
        <f t="shared" ca="1" si="24"/>
        <v/>
      </c>
      <c r="J192" s="43" t="str">
        <f t="shared" ca="1" si="24"/>
        <v/>
      </c>
      <c r="K192" s="43" t="str">
        <f t="shared" ca="1" si="24"/>
        <v/>
      </c>
      <c r="L192" s="43" t="str">
        <f t="shared" ca="1" si="24"/>
        <v/>
      </c>
      <c r="M192" s="43" t="str">
        <f t="shared" ca="1" si="24"/>
        <v/>
      </c>
      <c r="N192" s="43" t="str">
        <f t="shared" ca="1" si="24"/>
        <v/>
      </c>
      <c r="O192" s="43" t="str">
        <f t="shared" ca="1" si="24"/>
        <v/>
      </c>
      <c r="P192" s="43" t="str">
        <f t="shared" ca="1" si="24"/>
        <v/>
      </c>
      <c r="Q192" s="43" t="str">
        <f t="shared" ca="1" si="24"/>
        <v/>
      </c>
      <c r="R192" s="43" t="str">
        <f t="shared" ca="1" si="24"/>
        <v/>
      </c>
      <c r="S192" s="44" t="str">
        <f t="shared" si="17"/>
        <v/>
      </c>
      <c r="T192" s="43" t="str">
        <f>IF($C192="","",SUMIFS(Overview!$G$18:$G$32,Overview!$D$18:$D$32,"&lt;="&amp;$C192,Overview!$E$18:$E$32,"&gt;="&amp;$C192))</f>
        <v/>
      </c>
      <c r="U192" s="43" t="str">
        <f ca="1">IF(OR($C192="",Overview!$I$33=""),"",IF($C192&gt;Overview!$I$33,"",SUM($S$12:S192)))</f>
        <v/>
      </c>
      <c r="V192" s="43" t="str">
        <f>IF($C192="","",SUM($T$12:T192))</f>
        <v/>
      </c>
      <c r="W192" s="45" t="str">
        <f t="shared" ca="1" si="18"/>
        <v/>
      </c>
    </row>
    <row r="193" spans="3:23" x14ac:dyDescent="0.35">
      <c r="C193" s="42" t="str">
        <f>IF(OR(Overview!$D$33="",Overview!$E$33=""),"",IF(Overview!$D$33+181&gt;Overview!$E$33,"",Overview!$D$33+181))</f>
        <v/>
      </c>
      <c r="D193" s="43" t="str">
        <f t="shared" ca="1" si="24"/>
        <v/>
      </c>
      <c r="E193" s="43" t="str">
        <f t="shared" ca="1" si="24"/>
        <v/>
      </c>
      <c r="F193" s="43" t="str">
        <f t="shared" ca="1" si="24"/>
        <v/>
      </c>
      <c r="G193" s="43" t="str">
        <f t="shared" ca="1" si="24"/>
        <v/>
      </c>
      <c r="H193" s="43" t="str">
        <f t="shared" ca="1" si="24"/>
        <v/>
      </c>
      <c r="I193" s="43" t="str">
        <f t="shared" ca="1" si="24"/>
        <v/>
      </c>
      <c r="J193" s="43" t="str">
        <f t="shared" ca="1" si="24"/>
        <v/>
      </c>
      <c r="K193" s="43" t="str">
        <f t="shared" ca="1" si="24"/>
        <v/>
      </c>
      <c r="L193" s="43" t="str">
        <f t="shared" ca="1" si="24"/>
        <v/>
      </c>
      <c r="M193" s="43" t="str">
        <f t="shared" ca="1" si="24"/>
        <v/>
      </c>
      <c r="N193" s="43" t="str">
        <f t="shared" ca="1" si="24"/>
        <v/>
      </c>
      <c r="O193" s="43" t="str">
        <f t="shared" ca="1" si="24"/>
        <v/>
      </c>
      <c r="P193" s="43" t="str">
        <f t="shared" ca="1" si="24"/>
        <v/>
      </c>
      <c r="Q193" s="43" t="str">
        <f t="shared" ca="1" si="24"/>
        <v/>
      </c>
      <c r="R193" s="43" t="str">
        <f t="shared" ca="1" si="24"/>
        <v/>
      </c>
      <c r="S193" s="44" t="str">
        <f t="shared" si="17"/>
        <v/>
      </c>
      <c r="T193" s="43" t="str">
        <f>IF($C193="","",SUMIFS(Overview!$G$18:$G$32,Overview!$D$18:$D$32,"&lt;="&amp;$C193,Overview!$E$18:$E$32,"&gt;="&amp;$C193))</f>
        <v/>
      </c>
      <c r="U193" s="43" t="str">
        <f ca="1">IF(OR($C193="",Overview!$I$33=""),"",IF($C193&gt;Overview!$I$33,"",SUM($S$12:S193)))</f>
        <v/>
      </c>
      <c r="V193" s="43" t="str">
        <f>IF($C193="","",SUM($T$12:T193))</f>
        <v/>
      </c>
      <c r="W193" s="45" t="str">
        <f t="shared" ca="1" si="18"/>
        <v/>
      </c>
    </row>
    <row r="194" spans="3:23" x14ac:dyDescent="0.35">
      <c r="C194" s="42" t="str">
        <f>IF(OR(Overview!$D$33="",Overview!$E$33=""),"",IF(Overview!$D$33+182&gt;Overview!$E$33,"",Overview!$D$33+182))</f>
        <v/>
      </c>
      <c r="D194" s="43" t="str">
        <f t="shared" ca="1" si="24"/>
        <v/>
      </c>
      <c r="E194" s="43" t="str">
        <f t="shared" ca="1" si="24"/>
        <v/>
      </c>
      <c r="F194" s="43" t="str">
        <f t="shared" ca="1" si="24"/>
        <v/>
      </c>
      <c r="G194" s="43" t="str">
        <f t="shared" ca="1" si="24"/>
        <v/>
      </c>
      <c r="H194" s="43" t="str">
        <f t="shared" ca="1" si="24"/>
        <v/>
      </c>
      <c r="I194" s="43" t="str">
        <f t="shared" ca="1" si="24"/>
        <v/>
      </c>
      <c r="J194" s="43" t="str">
        <f t="shared" ca="1" si="24"/>
        <v/>
      </c>
      <c r="K194" s="43" t="str">
        <f t="shared" ca="1" si="24"/>
        <v/>
      </c>
      <c r="L194" s="43" t="str">
        <f t="shared" ca="1" si="24"/>
        <v/>
      </c>
      <c r="M194" s="43" t="str">
        <f t="shared" ca="1" si="24"/>
        <v/>
      </c>
      <c r="N194" s="43" t="str">
        <f t="shared" ca="1" si="24"/>
        <v/>
      </c>
      <c r="O194" s="43" t="str">
        <f t="shared" ca="1" si="24"/>
        <v/>
      </c>
      <c r="P194" s="43" t="str">
        <f t="shared" ca="1" si="24"/>
        <v/>
      </c>
      <c r="Q194" s="43" t="str">
        <f t="shared" ca="1" si="24"/>
        <v/>
      </c>
      <c r="R194" s="43" t="str">
        <f t="shared" ca="1" si="24"/>
        <v/>
      </c>
      <c r="S194" s="44" t="str">
        <f t="shared" si="17"/>
        <v/>
      </c>
      <c r="T194" s="43" t="str">
        <f>IF($C194="","",SUMIFS(Overview!$G$18:$G$32,Overview!$D$18:$D$32,"&lt;="&amp;$C194,Overview!$E$18:$E$32,"&gt;="&amp;$C194))</f>
        <v/>
      </c>
      <c r="U194" s="43" t="str">
        <f ca="1">IF(OR($C194="",Overview!$I$33=""),"",IF($C194&gt;Overview!$I$33,"",SUM($S$12:S194)))</f>
        <v/>
      </c>
      <c r="V194" s="43" t="str">
        <f>IF($C194="","",SUM($T$12:T194))</f>
        <v/>
      </c>
      <c r="W194" s="45" t="str">
        <f t="shared" ca="1" si="18"/>
        <v/>
      </c>
    </row>
    <row r="195" spans="3:23" x14ac:dyDescent="0.35">
      <c r="C195" s="42" t="str">
        <f>IF(OR(Overview!$D$33="",Overview!$E$33=""),"",IF(Overview!$D$33+183&gt;Overview!$E$33,"",Overview!$D$33+183))</f>
        <v/>
      </c>
      <c r="D195" s="43" t="str">
        <f t="shared" ca="1" si="24"/>
        <v/>
      </c>
      <c r="E195" s="43" t="str">
        <f t="shared" ca="1" si="24"/>
        <v/>
      </c>
      <c r="F195" s="43" t="str">
        <f t="shared" ca="1" si="24"/>
        <v/>
      </c>
      <c r="G195" s="43" t="str">
        <f t="shared" ca="1" si="24"/>
        <v/>
      </c>
      <c r="H195" s="43" t="str">
        <f t="shared" ca="1" si="24"/>
        <v/>
      </c>
      <c r="I195" s="43" t="str">
        <f t="shared" ca="1" si="24"/>
        <v/>
      </c>
      <c r="J195" s="43" t="str">
        <f t="shared" ca="1" si="24"/>
        <v/>
      </c>
      <c r="K195" s="43" t="str">
        <f t="shared" ca="1" si="24"/>
        <v/>
      </c>
      <c r="L195" s="43" t="str">
        <f t="shared" ca="1" si="24"/>
        <v/>
      </c>
      <c r="M195" s="43" t="str">
        <f t="shared" ca="1" si="24"/>
        <v/>
      </c>
      <c r="N195" s="43" t="str">
        <f t="shared" ca="1" si="24"/>
        <v/>
      </c>
      <c r="O195" s="43" t="str">
        <f t="shared" ca="1" si="24"/>
        <v/>
      </c>
      <c r="P195" s="43" t="str">
        <f t="shared" ca="1" si="24"/>
        <v/>
      </c>
      <c r="Q195" s="43" t="str">
        <f t="shared" ca="1" si="24"/>
        <v/>
      </c>
      <c r="R195" s="43" t="str">
        <f t="shared" ca="1" si="24"/>
        <v/>
      </c>
      <c r="S195" s="44" t="str">
        <f t="shared" si="17"/>
        <v/>
      </c>
      <c r="T195" s="43" t="str">
        <f>IF($C195="","",SUMIFS(Overview!$G$18:$G$32,Overview!$D$18:$D$32,"&lt;="&amp;$C195,Overview!$E$18:$E$32,"&gt;="&amp;$C195))</f>
        <v/>
      </c>
      <c r="U195" s="43" t="str">
        <f ca="1">IF(OR($C195="",Overview!$I$33=""),"",IF($C195&gt;Overview!$I$33,"",SUM($S$12:S195)))</f>
        <v/>
      </c>
      <c r="V195" s="43" t="str">
        <f>IF($C195="","",SUM($T$12:T195))</f>
        <v/>
      </c>
      <c r="W195" s="45" t="str">
        <f t="shared" ca="1" si="18"/>
        <v/>
      </c>
    </row>
    <row r="196" spans="3:23" x14ac:dyDescent="0.35">
      <c r="C196" s="42" t="str">
        <f>IF(OR(Overview!$D$33="",Overview!$E$33=""),"",IF(Overview!$D$33+184&gt;Overview!$E$33,"",Overview!$D$33+184))</f>
        <v/>
      </c>
      <c r="D196" s="43" t="str">
        <f t="shared" ca="1" si="24"/>
        <v/>
      </c>
      <c r="E196" s="43" t="str">
        <f t="shared" ca="1" si="24"/>
        <v/>
      </c>
      <c r="F196" s="43" t="str">
        <f t="shared" ca="1" si="24"/>
        <v/>
      </c>
      <c r="G196" s="43" t="str">
        <f t="shared" ca="1" si="24"/>
        <v/>
      </c>
      <c r="H196" s="43" t="str">
        <f t="shared" ca="1" si="24"/>
        <v/>
      </c>
      <c r="I196" s="43" t="str">
        <f t="shared" ca="1" si="24"/>
        <v/>
      </c>
      <c r="J196" s="43" t="str">
        <f t="shared" ca="1" si="24"/>
        <v/>
      </c>
      <c r="K196" s="43" t="str">
        <f t="shared" ca="1" si="24"/>
        <v/>
      </c>
      <c r="L196" s="43" t="str">
        <f t="shared" ca="1" si="24"/>
        <v/>
      </c>
      <c r="M196" s="43" t="str">
        <f t="shared" ca="1" si="24"/>
        <v/>
      </c>
      <c r="N196" s="43" t="str">
        <f t="shared" ca="1" si="24"/>
        <v/>
      </c>
      <c r="O196" s="43" t="str">
        <f t="shared" ca="1" si="24"/>
        <v/>
      </c>
      <c r="P196" s="43" t="str">
        <f t="shared" ca="1" si="24"/>
        <v/>
      </c>
      <c r="Q196" s="43" t="str">
        <f t="shared" ca="1" si="24"/>
        <v/>
      </c>
      <c r="R196" s="43" t="str">
        <f t="shared" ca="1" si="24"/>
        <v/>
      </c>
      <c r="S196" s="44" t="str">
        <f t="shared" si="17"/>
        <v/>
      </c>
      <c r="T196" s="43" t="str">
        <f>IF($C196="","",SUMIFS(Overview!$G$18:$G$32,Overview!$D$18:$D$32,"&lt;="&amp;$C196,Overview!$E$18:$E$32,"&gt;="&amp;$C196))</f>
        <v/>
      </c>
      <c r="U196" s="43" t="str">
        <f ca="1">IF(OR($C196="",Overview!$I$33=""),"",IF($C196&gt;Overview!$I$33,"",SUM($S$12:S196)))</f>
        <v/>
      </c>
      <c r="V196" s="43" t="str">
        <f>IF($C196="","",SUM($T$12:T196))</f>
        <v/>
      </c>
      <c r="W196" s="45" t="str">
        <f t="shared" ca="1" si="18"/>
        <v/>
      </c>
    </row>
    <row r="197" spans="3:23" x14ac:dyDescent="0.35">
      <c r="C197" s="42" t="str">
        <f>IF(OR(Overview!$D$33="",Overview!$E$33=""),"",IF(Overview!$D$33+185&gt;Overview!$E$33,"",Overview!$D$33+185))</f>
        <v/>
      </c>
      <c r="D197" s="43" t="str">
        <f t="shared" ca="1" si="24"/>
        <v/>
      </c>
      <c r="E197" s="43" t="str">
        <f t="shared" ca="1" si="24"/>
        <v/>
      </c>
      <c r="F197" s="43" t="str">
        <f t="shared" ca="1" si="24"/>
        <v/>
      </c>
      <c r="G197" s="43" t="str">
        <f t="shared" ca="1" si="24"/>
        <v/>
      </c>
      <c r="H197" s="43" t="str">
        <f t="shared" ca="1" si="24"/>
        <v/>
      </c>
      <c r="I197" s="43" t="str">
        <f t="shared" ca="1" si="24"/>
        <v/>
      </c>
      <c r="J197" s="43" t="str">
        <f t="shared" ca="1" si="24"/>
        <v/>
      </c>
      <c r="K197" s="43" t="str">
        <f t="shared" ca="1" si="24"/>
        <v/>
      </c>
      <c r="L197" s="43" t="str">
        <f t="shared" ca="1" si="24"/>
        <v/>
      </c>
      <c r="M197" s="43" t="str">
        <f t="shared" ca="1" si="24"/>
        <v/>
      </c>
      <c r="N197" s="43" t="str">
        <f t="shared" ca="1" si="24"/>
        <v/>
      </c>
      <c r="O197" s="43" t="str">
        <f t="shared" ca="1" si="24"/>
        <v/>
      </c>
      <c r="P197" s="43" t="str">
        <f t="shared" ca="1" si="24"/>
        <v/>
      </c>
      <c r="Q197" s="43" t="str">
        <f t="shared" ca="1" si="24"/>
        <v/>
      </c>
      <c r="R197" s="43" t="str">
        <f t="shared" ca="1" si="24"/>
        <v/>
      </c>
      <c r="S197" s="44" t="str">
        <f t="shared" si="17"/>
        <v/>
      </c>
      <c r="T197" s="43" t="str">
        <f>IF($C197="","",SUMIFS(Overview!$G$18:$G$32,Overview!$D$18:$D$32,"&lt;="&amp;$C197,Overview!$E$18:$E$32,"&gt;="&amp;$C197))</f>
        <v/>
      </c>
      <c r="U197" s="43" t="str">
        <f ca="1">IF(OR($C197="",Overview!$I$33=""),"",IF($C197&gt;Overview!$I$33,"",SUM($S$12:S197)))</f>
        <v/>
      </c>
      <c r="V197" s="43" t="str">
        <f>IF($C197="","",SUM($T$12:T197))</f>
        <v/>
      </c>
      <c r="W197" s="45" t="str">
        <f t="shared" ca="1" si="18"/>
        <v/>
      </c>
    </row>
    <row r="198" spans="3:23" x14ac:dyDescent="0.35">
      <c r="C198" s="42" t="str">
        <f>IF(OR(Overview!$D$33="",Overview!$E$33=""),"",IF(Overview!$D$33+186&gt;Overview!$E$33,"",Overview!$D$33+186))</f>
        <v/>
      </c>
      <c r="D198" s="43" t="str">
        <f t="shared" ca="1" si="24"/>
        <v/>
      </c>
      <c r="E198" s="43" t="str">
        <f t="shared" ca="1" si="24"/>
        <v/>
      </c>
      <c r="F198" s="43" t="str">
        <f t="shared" ca="1" si="24"/>
        <v/>
      </c>
      <c r="G198" s="43" t="str">
        <f t="shared" ca="1" si="24"/>
        <v/>
      </c>
      <c r="H198" s="43" t="str">
        <f t="shared" ca="1" si="24"/>
        <v/>
      </c>
      <c r="I198" s="43" t="str">
        <f t="shared" ca="1" si="24"/>
        <v/>
      </c>
      <c r="J198" s="43" t="str">
        <f t="shared" ca="1" si="24"/>
        <v/>
      </c>
      <c r="K198" s="43" t="str">
        <f t="shared" ca="1" si="24"/>
        <v/>
      </c>
      <c r="L198" s="43" t="str">
        <f t="shared" ca="1" si="24"/>
        <v/>
      </c>
      <c r="M198" s="43" t="str">
        <f t="shared" ca="1" si="24"/>
        <v/>
      </c>
      <c r="N198" s="43" t="str">
        <f t="shared" ca="1" si="24"/>
        <v/>
      </c>
      <c r="O198" s="43" t="str">
        <f t="shared" ca="1" si="24"/>
        <v/>
      </c>
      <c r="P198" s="43" t="str">
        <f t="shared" ca="1" si="24"/>
        <v/>
      </c>
      <c r="Q198" s="43" t="str">
        <f t="shared" ca="1" si="24"/>
        <v/>
      </c>
      <c r="R198" s="43" t="str">
        <f t="shared" ca="1" si="24"/>
        <v/>
      </c>
      <c r="S198" s="44" t="str">
        <f t="shared" si="17"/>
        <v/>
      </c>
      <c r="T198" s="43" t="str">
        <f>IF($C198="","",SUMIFS(Overview!$G$18:$G$32,Overview!$D$18:$D$32,"&lt;="&amp;$C198,Overview!$E$18:$E$32,"&gt;="&amp;$C198))</f>
        <v/>
      </c>
      <c r="U198" s="43" t="str">
        <f ca="1">IF(OR($C198="",Overview!$I$33=""),"",IF($C198&gt;Overview!$I$33,"",SUM($S$12:S198)))</f>
        <v/>
      </c>
      <c r="V198" s="43" t="str">
        <f>IF($C198="","",SUM($T$12:T198))</f>
        <v/>
      </c>
      <c r="W198" s="45" t="str">
        <f t="shared" ca="1" si="18"/>
        <v/>
      </c>
    </row>
    <row r="199" spans="3:23" x14ac:dyDescent="0.35">
      <c r="C199" s="42" t="str">
        <f>IF(OR(Overview!$D$33="",Overview!$E$33=""),"",IF(Overview!$D$33+187&gt;Overview!$E$33,"",Overview!$D$33+187))</f>
        <v/>
      </c>
      <c r="D199" s="43" t="str">
        <f t="shared" ca="1" si="24"/>
        <v/>
      </c>
      <c r="E199" s="43" t="str">
        <f t="shared" ca="1" si="24"/>
        <v/>
      </c>
      <c r="F199" s="43" t="str">
        <f t="shared" ca="1" si="24"/>
        <v/>
      </c>
      <c r="G199" s="43" t="str">
        <f t="shared" ca="1" si="24"/>
        <v/>
      </c>
      <c r="H199" s="43" t="str">
        <f t="shared" ca="1" si="24"/>
        <v/>
      </c>
      <c r="I199" s="43" t="str">
        <f t="shared" ca="1" si="24"/>
        <v/>
      </c>
      <c r="J199" s="43" t="str">
        <f t="shared" ca="1" si="24"/>
        <v/>
      </c>
      <c r="K199" s="43" t="str">
        <f t="shared" ca="1" si="24"/>
        <v/>
      </c>
      <c r="L199" s="43" t="str">
        <f t="shared" ca="1" si="24"/>
        <v/>
      </c>
      <c r="M199" s="43" t="str">
        <f t="shared" ca="1" si="24"/>
        <v/>
      </c>
      <c r="N199" s="43" t="str">
        <f t="shared" ca="1" si="24"/>
        <v/>
      </c>
      <c r="O199" s="43" t="str">
        <f t="shared" ca="1" si="24"/>
        <v/>
      </c>
      <c r="P199" s="43" t="str">
        <f t="shared" ca="1" si="24"/>
        <v/>
      </c>
      <c r="Q199" s="43" t="str">
        <f t="shared" ca="1" si="24"/>
        <v/>
      </c>
      <c r="R199" s="43" t="str">
        <f t="shared" ca="1" si="24"/>
        <v/>
      </c>
      <c r="S199" s="44" t="str">
        <f t="shared" si="17"/>
        <v/>
      </c>
      <c r="T199" s="43" t="str">
        <f>IF($C199="","",SUMIFS(Overview!$G$18:$G$32,Overview!$D$18:$D$32,"&lt;="&amp;$C199,Overview!$E$18:$E$32,"&gt;="&amp;$C199))</f>
        <v/>
      </c>
      <c r="U199" s="43" t="str">
        <f ca="1">IF(OR($C199="",Overview!$I$33=""),"",IF($C199&gt;Overview!$I$33,"",SUM($S$12:S199)))</f>
        <v/>
      </c>
      <c r="V199" s="43" t="str">
        <f>IF($C199="","",SUM($T$12:T199))</f>
        <v/>
      </c>
      <c r="W199" s="45" t="str">
        <f t="shared" ca="1" si="18"/>
        <v/>
      </c>
    </row>
    <row r="200" spans="3:23" x14ac:dyDescent="0.35">
      <c r="C200" s="42" t="str">
        <f>IF(OR(Overview!$D$33="",Overview!$E$33=""),"",IF(Overview!$D$33+188&gt;Overview!$E$33,"",Overview!$D$33+188))</f>
        <v/>
      </c>
      <c r="D200" s="43" t="str">
        <f t="shared" ca="1" si="24"/>
        <v/>
      </c>
      <c r="E200" s="43" t="str">
        <f t="shared" ca="1" si="24"/>
        <v/>
      </c>
      <c r="F200" s="43" t="str">
        <f t="shared" ca="1" si="24"/>
        <v/>
      </c>
      <c r="G200" s="43" t="str">
        <f t="shared" ca="1" si="24"/>
        <v/>
      </c>
      <c r="H200" s="43" t="str">
        <f t="shared" ca="1" si="24"/>
        <v/>
      </c>
      <c r="I200" s="43" t="str">
        <f t="shared" ca="1" si="24"/>
        <v/>
      </c>
      <c r="J200" s="43" t="str">
        <f t="shared" ca="1" si="24"/>
        <v/>
      </c>
      <c r="K200" s="43" t="str">
        <f t="shared" ca="1" si="24"/>
        <v/>
      </c>
      <c r="L200" s="43" t="str">
        <f t="shared" ca="1" si="24"/>
        <v/>
      </c>
      <c r="M200" s="43" t="str">
        <f t="shared" ca="1" si="24"/>
        <v/>
      </c>
      <c r="N200" s="43" t="str">
        <f t="shared" ca="1" si="24"/>
        <v/>
      </c>
      <c r="O200" s="43" t="str">
        <f t="shared" ca="1" si="24"/>
        <v/>
      </c>
      <c r="P200" s="43" t="str">
        <f t="shared" ca="1" si="24"/>
        <v/>
      </c>
      <c r="Q200" s="43" t="str">
        <f t="shared" ca="1" si="24"/>
        <v/>
      </c>
      <c r="R200" s="43" t="str">
        <f t="shared" ca="1" si="24"/>
        <v/>
      </c>
      <c r="S200" s="44" t="str">
        <f t="shared" si="17"/>
        <v/>
      </c>
      <c r="T200" s="43" t="str">
        <f>IF($C200="","",SUMIFS(Overview!$G$18:$G$32,Overview!$D$18:$D$32,"&lt;="&amp;$C200,Overview!$E$18:$E$32,"&gt;="&amp;$C200))</f>
        <v/>
      </c>
      <c r="U200" s="43" t="str">
        <f ca="1">IF(OR($C200="",Overview!$I$33=""),"",IF($C200&gt;Overview!$I$33,"",SUM($S$12:S200)))</f>
        <v/>
      </c>
      <c r="V200" s="43" t="str">
        <f>IF($C200="","",SUM($T$12:T200))</f>
        <v/>
      </c>
      <c r="W200" s="45" t="str">
        <f t="shared" ca="1" si="18"/>
        <v/>
      </c>
    </row>
    <row r="201" spans="3:23" x14ac:dyDescent="0.35">
      <c r="C201" s="42" t="str">
        <f>IF(OR(Overview!$D$33="",Overview!$E$33=""),"",IF(Overview!$D$33+189&gt;Overview!$E$33,"",Overview!$D$33+189))</f>
        <v/>
      </c>
      <c r="D201" s="43" t="str">
        <f t="shared" ca="1" si="24"/>
        <v/>
      </c>
      <c r="E201" s="43" t="str">
        <f t="shared" ca="1" si="24"/>
        <v/>
      </c>
      <c r="F201" s="43" t="str">
        <f t="shared" ca="1" si="24"/>
        <v/>
      </c>
      <c r="G201" s="43" t="str">
        <f t="shared" ca="1" si="24"/>
        <v/>
      </c>
      <c r="H201" s="43" t="str">
        <f t="shared" ca="1" si="24"/>
        <v/>
      </c>
      <c r="I201" s="43" t="str">
        <f t="shared" ca="1" si="24"/>
        <v/>
      </c>
      <c r="J201" s="43" t="str">
        <f t="shared" ca="1" si="24"/>
        <v/>
      </c>
      <c r="K201" s="43" t="str">
        <f t="shared" ca="1" si="24"/>
        <v/>
      </c>
      <c r="L201" s="43" t="str">
        <f t="shared" ca="1" si="24"/>
        <v/>
      </c>
      <c r="M201" s="43" t="str">
        <f t="shared" ca="1" si="24"/>
        <v/>
      </c>
      <c r="N201" s="43" t="str">
        <f t="shared" ca="1" si="24"/>
        <v/>
      </c>
      <c r="O201" s="43" t="str">
        <f t="shared" ca="1" si="24"/>
        <v/>
      </c>
      <c r="P201" s="43" t="str">
        <f t="shared" ca="1" si="24"/>
        <v/>
      </c>
      <c r="Q201" s="43" t="str">
        <f t="shared" ca="1" si="24"/>
        <v/>
      </c>
      <c r="R201" s="43" t="str">
        <f t="shared" ca="1" si="24"/>
        <v/>
      </c>
      <c r="S201" s="44" t="str">
        <f t="shared" si="17"/>
        <v/>
      </c>
      <c r="T201" s="43" t="str">
        <f>IF($C201="","",SUMIFS(Overview!$G$18:$G$32,Overview!$D$18:$D$32,"&lt;="&amp;$C201,Overview!$E$18:$E$32,"&gt;="&amp;$C201))</f>
        <v/>
      </c>
      <c r="U201" s="43" t="str">
        <f ca="1">IF(OR($C201="",Overview!$I$33=""),"",IF($C201&gt;Overview!$I$33,"",SUM($S$12:S201)))</f>
        <v/>
      </c>
      <c r="V201" s="43" t="str">
        <f>IF($C201="","",SUM($T$12:T201))</f>
        <v/>
      </c>
      <c r="W201" s="45" t="str">
        <f t="shared" ca="1" si="18"/>
        <v/>
      </c>
    </row>
    <row r="202" spans="3:23" x14ac:dyDescent="0.35">
      <c r="C202" s="42" t="str">
        <f>IF(OR(Overview!$D$33="",Overview!$E$33=""),"",IF(Overview!$D$33+190&gt;Overview!$E$33,"",Overview!$D$33+190))</f>
        <v/>
      </c>
      <c r="D202" s="43" t="str">
        <f t="shared" ref="D202:R211" ca="1" si="25">IF(OR($C202="",D$11=""),"",IFERROR(SUMIFS(INDIRECT("'"&amp;D$11&amp;"'!$F$14:$F$10013"),INDIRECT("'"&amp;D$11&amp;"'!$C$14:$C$10013"),$C202),""))</f>
        <v/>
      </c>
      <c r="E202" s="43" t="str">
        <f t="shared" ca="1" si="25"/>
        <v/>
      </c>
      <c r="F202" s="43" t="str">
        <f t="shared" ca="1" si="25"/>
        <v/>
      </c>
      <c r="G202" s="43" t="str">
        <f t="shared" ca="1" si="25"/>
        <v/>
      </c>
      <c r="H202" s="43" t="str">
        <f t="shared" ca="1" si="25"/>
        <v/>
      </c>
      <c r="I202" s="43" t="str">
        <f t="shared" ca="1" si="25"/>
        <v/>
      </c>
      <c r="J202" s="43" t="str">
        <f t="shared" ca="1" si="25"/>
        <v/>
      </c>
      <c r="K202" s="43" t="str">
        <f t="shared" ca="1" si="25"/>
        <v/>
      </c>
      <c r="L202" s="43" t="str">
        <f t="shared" ca="1" si="25"/>
        <v/>
      </c>
      <c r="M202" s="43" t="str">
        <f t="shared" ca="1" si="25"/>
        <v/>
      </c>
      <c r="N202" s="43" t="str">
        <f t="shared" ca="1" si="25"/>
        <v/>
      </c>
      <c r="O202" s="43" t="str">
        <f t="shared" ca="1" si="25"/>
        <v/>
      </c>
      <c r="P202" s="43" t="str">
        <f t="shared" ca="1" si="25"/>
        <v/>
      </c>
      <c r="Q202" s="43" t="str">
        <f t="shared" ca="1" si="25"/>
        <v/>
      </c>
      <c r="R202" s="43" t="str">
        <f t="shared" ca="1" si="25"/>
        <v/>
      </c>
      <c r="S202" s="44" t="str">
        <f t="shared" si="17"/>
        <v/>
      </c>
      <c r="T202" s="43" t="str">
        <f>IF($C202="","",SUMIFS(Overview!$G$18:$G$32,Overview!$D$18:$D$32,"&lt;="&amp;$C202,Overview!$E$18:$E$32,"&gt;="&amp;$C202))</f>
        <v/>
      </c>
      <c r="U202" s="43" t="str">
        <f ca="1">IF(OR($C202="",Overview!$I$33=""),"",IF($C202&gt;Overview!$I$33,"",SUM($S$12:S202)))</f>
        <v/>
      </c>
      <c r="V202" s="43" t="str">
        <f>IF($C202="","",SUM($T$12:T202))</f>
        <v/>
      </c>
      <c r="W202" s="45" t="str">
        <f t="shared" ca="1" si="18"/>
        <v/>
      </c>
    </row>
    <row r="203" spans="3:23" x14ac:dyDescent="0.35">
      <c r="C203" s="42" t="str">
        <f>IF(OR(Overview!$D$33="",Overview!$E$33=""),"",IF(Overview!$D$33+191&gt;Overview!$E$33,"",Overview!$D$33+191))</f>
        <v/>
      </c>
      <c r="D203" s="43" t="str">
        <f t="shared" ca="1" si="25"/>
        <v/>
      </c>
      <c r="E203" s="43" t="str">
        <f t="shared" ca="1" si="25"/>
        <v/>
      </c>
      <c r="F203" s="43" t="str">
        <f t="shared" ca="1" si="25"/>
        <v/>
      </c>
      <c r="G203" s="43" t="str">
        <f t="shared" ca="1" si="25"/>
        <v/>
      </c>
      <c r="H203" s="43" t="str">
        <f t="shared" ca="1" si="25"/>
        <v/>
      </c>
      <c r="I203" s="43" t="str">
        <f t="shared" ca="1" si="25"/>
        <v/>
      </c>
      <c r="J203" s="43" t="str">
        <f t="shared" ca="1" si="25"/>
        <v/>
      </c>
      <c r="K203" s="43" t="str">
        <f t="shared" ca="1" si="25"/>
        <v/>
      </c>
      <c r="L203" s="43" t="str">
        <f t="shared" ca="1" si="25"/>
        <v/>
      </c>
      <c r="M203" s="43" t="str">
        <f t="shared" ca="1" si="25"/>
        <v/>
      </c>
      <c r="N203" s="43" t="str">
        <f t="shared" ca="1" si="25"/>
        <v/>
      </c>
      <c r="O203" s="43" t="str">
        <f t="shared" ca="1" si="25"/>
        <v/>
      </c>
      <c r="P203" s="43" t="str">
        <f t="shared" ca="1" si="25"/>
        <v/>
      </c>
      <c r="Q203" s="43" t="str">
        <f t="shared" ca="1" si="25"/>
        <v/>
      </c>
      <c r="R203" s="43" t="str">
        <f t="shared" ca="1" si="25"/>
        <v/>
      </c>
      <c r="S203" s="44" t="str">
        <f t="shared" si="17"/>
        <v/>
      </c>
      <c r="T203" s="43" t="str">
        <f>IF($C203="","",SUMIFS(Overview!$G$18:$G$32,Overview!$D$18:$D$32,"&lt;="&amp;$C203,Overview!$E$18:$E$32,"&gt;="&amp;$C203))</f>
        <v/>
      </c>
      <c r="U203" s="43" t="str">
        <f ca="1">IF(OR($C203="",Overview!$I$33=""),"",IF($C203&gt;Overview!$I$33,"",SUM($S$12:S203)))</f>
        <v/>
      </c>
      <c r="V203" s="43" t="str">
        <f>IF($C203="","",SUM($T$12:T203))</f>
        <v/>
      </c>
      <c r="W203" s="45" t="str">
        <f t="shared" ca="1" si="18"/>
        <v/>
      </c>
    </row>
    <row r="204" spans="3:23" x14ac:dyDescent="0.35">
      <c r="C204" s="42" t="str">
        <f>IF(OR(Overview!$D$33="",Overview!$E$33=""),"",IF(Overview!$D$33+192&gt;Overview!$E$33,"",Overview!$D$33+192))</f>
        <v/>
      </c>
      <c r="D204" s="43" t="str">
        <f t="shared" ca="1" si="25"/>
        <v/>
      </c>
      <c r="E204" s="43" t="str">
        <f t="shared" ca="1" si="25"/>
        <v/>
      </c>
      <c r="F204" s="43" t="str">
        <f t="shared" ca="1" si="25"/>
        <v/>
      </c>
      <c r="G204" s="43" t="str">
        <f t="shared" ca="1" si="25"/>
        <v/>
      </c>
      <c r="H204" s="43" t="str">
        <f t="shared" ca="1" si="25"/>
        <v/>
      </c>
      <c r="I204" s="43" t="str">
        <f t="shared" ca="1" si="25"/>
        <v/>
      </c>
      <c r="J204" s="43" t="str">
        <f t="shared" ca="1" si="25"/>
        <v/>
      </c>
      <c r="K204" s="43" t="str">
        <f t="shared" ca="1" si="25"/>
        <v/>
      </c>
      <c r="L204" s="43" t="str">
        <f t="shared" ca="1" si="25"/>
        <v/>
      </c>
      <c r="M204" s="43" t="str">
        <f t="shared" ca="1" si="25"/>
        <v/>
      </c>
      <c r="N204" s="43" t="str">
        <f t="shared" ca="1" si="25"/>
        <v/>
      </c>
      <c r="O204" s="43" t="str">
        <f t="shared" ca="1" si="25"/>
        <v/>
      </c>
      <c r="P204" s="43" t="str">
        <f t="shared" ca="1" si="25"/>
        <v/>
      </c>
      <c r="Q204" s="43" t="str">
        <f t="shared" ca="1" si="25"/>
        <v/>
      </c>
      <c r="R204" s="43" t="str">
        <f t="shared" ca="1" si="25"/>
        <v/>
      </c>
      <c r="S204" s="44" t="str">
        <f t="shared" ref="S204:S267" si="26">IF($C204="","",SUM(D204:R204))</f>
        <v/>
      </c>
      <c r="T204" s="43" t="str">
        <f>IF($C204="","",SUMIFS(Overview!$G$18:$G$32,Overview!$D$18:$D$32,"&lt;="&amp;$C204,Overview!$E$18:$E$32,"&gt;="&amp;$C204))</f>
        <v/>
      </c>
      <c r="U204" s="43" t="str">
        <f ca="1">IF(OR($C204="",Overview!$I$33=""),"",IF($C204&gt;Overview!$I$33,"",SUM($S$12:S204)))</f>
        <v/>
      </c>
      <c r="V204" s="43" t="str">
        <f>IF($C204="","",SUM($T$12:T204))</f>
        <v/>
      </c>
      <c r="W204" s="45" t="str">
        <f t="shared" ref="W204:W267" ca="1" si="27">IF(OR(U204="",V204="",V204=0),"",U204/V204)</f>
        <v/>
      </c>
    </row>
    <row r="205" spans="3:23" x14ac:dyDescent="0.35">
      <c r="C205" s="42" t="str">
        <f>IF(OR(Overview!$D$33="",Overview!$E$33=""),"",IF(Overview!$D$33+193&gt;Overview!$E$33,"",Overview!$D$33+193))</f>
        <v/>
      </c>
      <c r="D205" s="43" t="str">
        <f t="shared" ca="1" si="25"/>
        <v/>
      </c>
      <c r="E205" s="43" t="str">
        <f t="shared" ca="1" si="25"/>
        <v/>
      </c>
      <c r="F205" s="43" t="str">
        <f t="shared" ca="1" si="25"/>
        <v/>
      </c>
      <c r="G205" s="43" t="str">
        <f t="shared" ca="1" si="25"/>
        <v/>
      </c>
      <c r="H205" s="43" t="str">
        <f t="shared" ca="1" si="25"/>
        <v/>
      </c>
      <c r="I205" s="43" t="str">
        <f t="shared" ca="1" si="25"/>
        <v/>
      </c>
      <c r="J205" s="43" t="str">
        <f t="shared" ca="1" si="25"/>
        <v/>
      </c>
      <c r="K205" s="43" t="str">
        <f t="shared" ca="1" si="25"/>
        <v/>
      </c>
      <c r="L205" s="43" t="str">
        <f t="shared" ca="1" si="25"/>
        <v/>
      </c>
      <c r="M205" s="43" t="str">
        <f t="shared" ca="1" si="25"/>
        <v/>
      </c>
      <c r="N205" s="43" t="str">
        <f t="shared" ca="1" si="25"/>
        <v/>
      </c>
      <c r="O205" s="43" t="str">
        <f t="shared" ca="1" si="25"/>
        <v/>
      </c>
      <c r="P205" s="43" t="str">
        <f t="shared" ca="1" si="25"/>
        <v/>
      </c>
      <c r="Q205" s="43" t="str">
        <f t="shared" ca="1" si="25"/>
        <v/>
      </c>
      <c r="R205" s="43" t="str">
        <f t="shared" ca="1" si="25"/>
        <v/>
      </c>
      <c r="S205" s="44" t="str">
        <f t="shared" si="26"/>
        <v/>
      </c>
      <c r="T205" s="43" t="str">
        <f>IF($C205="","",SUMIFS(Overview!$G$18:$G$32,Overview!$D$18:$D$32,"&lt;="&amp;$C205,Overview!$E$18:$E$32,"&gt;="&amp;$C205))</f>
        <v/>
      </c>
      <c r="U205" s="43" t="str">
        <f ca="1">IF(OR($C205="",Overview!$I$33=""),"",IF($C205&gt;Overview!$I$33,"",SUM($S$12:S205)))</f>
        <v/>
      </c>
      <c r="V205" s="43" t="str">
        <f>IF($C205="","",SUM($T$12:T205))</f>
        <v/>
      </c>
      <c r="W205" s="45" t="str">
        <f t="shared" ca="1" si="27"/>
        <v/>
      </c>
    </row>
    <row r="206" spans="3:23" x14ac:dyDescent="0.35">
      <c r="C206" s="42" t="str">
        <f>IF(OR(Overview!$D$33="",Overview!$E$33=""),"",IF(Overview!$D$33+194&gt;Overview!$E$33,"",Overview!$D$33+194))</f>
        <v/>
      </c>
      <c r="D206" s="43" t="str">
        <f t="shared" ca="1" si="25"/>
        <v/>
      </c>
      <c r="E206" s="43" t="str">
        <f t="shared" ca="1" si="25"/>
        <v/>
      </c>
      <c r="F206" s="43" t="str">
        <f t="shared" ca="1" si="25"/>
        <v/>
      </c>
      <c r="G206" s="43" t="str">
        <f t="shared" ca="1" si="25"/>
        <v/>
      </c>
      <c r="H206" s="43" t="str">
        <f t="shared" ca="1" si="25"/>
        <v/>
      </c>
      <c r="I206" s="43" t="str">
        <f t="shared" ca="1" si="25"/>
        <v/>
      </c>
      <c r="J206" s="43" t="str">
        <f t="shared" ca="1" si="25"/>
        <v/>
      </c>
      <c r="K206" s="43" t="str">
        <f t="shared" ca="1" si="25"/>
        <v/>
      </c>
      <c r="L206" s="43" t="str">
        <f t="shared" ca="1" si="25"/>
        <v/>
      </c>
      <c r="M206" s="43" t="str">
        <f t="shared" ca="1" si="25"/>
        <v/>
      </c>
      <c r="N206" s="43" t="str">
        <f t="shared" ca="1" si="25"/>
        <v/>
      </c>
      <c r="O206" s="43" t="str">
        <f t="shared" ca="1" si="25"/>
        <v/>
      </c>
      <c r="P206" s="43" t="str">
        <f t="shared" ca="1" si="25"/>
        <v/>
      </c>
      <c r="Q206" s="43" t="str">
        <f t="shared" ca="1" si="25"/>
        <v/>
      </c>
      <c r="R206" s="43" t="str">
        <f t="shared" ca="1" si="25"/>
        <v/>
      </c>
      <c r="S206" s="44" t="str">
        <f t="shared" si="26"/>
        <v/>
      </c>
      <c r="T206" s="43" t="str">
        <f>IF($C206="","",SUMIFS(Overview!$G$18:$G$32,Overview!$D$18:$D$32,"&lt;="&amp;$C206,Overview!$E$18:$E$32,"&gt;="&amp;$C206))</f>
        <v/>
      </c>
      <c r="U206" s="43" t="str">
        <f ca="1">IF(OR($C206="",Overview!$I$33=""),"",IF($C206&gt;Overview!$I$33,"",SUM($S$12:S206)))</f>
        <v/>
      </c>
      <c r="V206" s="43" t="str">
        <f>IF($C206="","",SUM($T$12:T206))</f>
        <v/>
      </c>
      <c r="W206" s="45" t="str">
        <f t="shared" ca="1" si="27"/>
        <v/>
      </c>
    </row>
    <row r="207" spans="3:23" x14ac:dyDescent="0.35">
      <c r="C207" s="42" t="str">
        <f>IF(OR(Overview!$D$33="",Overview!$E$33=""),"",IF(Overview!$D$33+195&gt;Overview!$E$33,"",Overview!$D$33+195))</f>
        <v/>
      </c>
      <c r="D207" s="43" t="str">
        <f t="shared" ca="1" si="25"/>
        <v/>
      </c>
      <c r="E207" s="43" t="str">
        <f t="shared" ca="1" si="25"/>
        <v/>
      </c>
      <c r="F207" s="43" t="str">
        <f t="shared" ca="1" si="25"/>
        <v/>
      </c>
      <c r="G207" s="43" t="str">
        <f t="shared" ca="1" si="25"/>
        <v/>
      </c>
      <c r="H207" s="43" t="str">
        <f t="shared" ca="1" si="25"/>
        <v/>
      </c>
      <c r="I207" s="43" t="str">
        <f t="shared" ca="1" si="25"/>
        <v/>
      </c>
      <c r="J207" s="43" t="str">
        <f t="shared" ca="1" si="25"/>
        <v/>
      </c>
      <c r="K207" s="43" t="str">
        <f t="shared" ca="1" si="25"/>
        <v/>
      </c>
      <c r="L207" s="43" t="str">
        <f t="shared" ca="1" si="25"/>
        <v/>
      </c>
      <c r="M207" s="43" t="str">
        <f t="shared" ca="1" si="25"/>
        <v/>
      </c>
      <c r="N207" s="43" t="str">
        <f t="shared" ca="1" si="25"/>
        <v/>
      </c>
      <c r="O207" s="43" t="str">
        <f t="shared" ca="1" si="25"/>
        <v/>
      </c>
      <c r="P207" s="43" t="str">
        <f t="shared" ca="1" si="25"/>
        <v/>
      </c>
      <c r="Q207" s="43" t="str">
        <f t="shared" ca="1" si="25"/>
        <v/>
      </c>
      <c r="R207" s="43" t="str">
        <f t="shared" ca="1" si="25"/>
        <v/>
      </c>
      <c r="S207" s="44" t="str">
        <f t="shared" si="26"/>
        <v/>
      </c>
      <c r="T207" s="43" t="str">
        <f>IF($C207="","",SUMIFS(Overview!$G$18:$G$32,Overview!$D$18:$D$32,"&lt;="&amp;$C207,Overview!$E$18:$E$32,"&gt;="&amp;$C207))</f>
        <v/>
      </c>
      <c r="U207" s="43" t="str">
        <f ca="1">IF(OR($C207="",Overview!$I$33=""),"",IF($C207&gt;Overview!$I$33,"",SUM($S$12:S207)))</f>
        <v/>
      </c>
      <c r="V207" s="43" t="str">
        <f>IF($C207="","",SUM($T$12:T207))</f>
        <v/>
      </c>
      <c r="W207" s="45" t="str">
        <f t="shared" ca="1" si="27"/>
        <v/>
      </c>
    </row>
    <row r="208" spans="3:23" x14ac:dyDescent="0.35">
      <c r="C208" s="42" t="str">
        <f>IF(OR(Overview!$D$33="",Overview!$E$33=""),"",IF(Overview!$D$33+196&gt;Overview!$E$33,"",Overview!$D$33+196))</f>
        <v/>
      </c>
      <c r="D208" s="43" t="str">
        <f t="shared" ca="1" si="25"/>
        <v/>
      </c>
      <c r="E208" s="43" t="str">
        <f t="shared" ca="1" si="25"/>
        <v/>
      </c>
      <c r="F208" s="43" t="str">
        <f t="shared" ca="1" si="25"/>
        <v/>
      </c>
      <c r="G208" s="43" t="str">
        <f t="shared" ca="1" si="25"/>
        <v/>
      </c>
      <c r="H208" s="43" t="str">
        <f t="shared" ca="1" si="25"/>
        <v/>
      </c>
      <c r="I208" s="43" t="str">
        <f t="shared" ca="1" si="25"/>
        <v/>
      </c>
      <c r="J208" s="43" t="str">
        <f t="shared" ca="1" si="25"/>
        <v/>
      </c>
      <c r="K208" s="43" t="str">
        <f t="shared" ca="1" si="25"/>
        <v/>
      </c>
      <c r="L208" s="43" t="str">
        <f t="shared" ca="1" si="25"/>
        <v/>
      </c>
      <c r="M208" s="43" t="str">
        <f t="shared" ca="1" si="25"/>
        <v/>
      </c>
      <c r="N208" s="43" t="str">
        <f t="shared" ca="1" si="25"/>
        <v/>
      </c>
      <c r="O208" s="43" t="str">
        <f t="shared" ca="1" si="25"/>
        <v/>
      </c>
      <c r="P208" s="43" t="str">
        <f t="shared" ca="1" si="25"/>
        <v/>
      </c>
      <c r="Q208" s="43" t="str">
        <f t="shared" ca="1" si="25"/>
        <v/>
      </c>
      <c r="R208" s="43" t="str">
        <f t="shared" ca="1" si="25"/>
        <v/>
      </c>
      <c r="S208" s="44" t="str">
        <f t="shared" si="26"/>
        <v/>
      </c>
      <c r="T208" s="43" t="str">
        <f>IF($C208="","",SUMIFS(Overview!$G$18:$G$32,Overview!$D$18:$D$32,"&lt;="&amp;$C208,Overview!$E$18:$E$32,"&gt;="&amp;$C208))</f>
        <v/>
      </c>
      <c r="U208" s="43" t="str">
        <f ca="1">IF(OR($C208="",Overview!$I$33=""),"",IF($C208&gt;Overview!$I$33,"",SUM($S$12:S208)))</f>
        <v/>
      </c>
      <c r="V208" s="43" t="str">
        <f>IF($C208="","",SUM($T$12:T208))</f>
        <v/>
      </c>
      <c r="W208" s="45" t="str">
        <f t="shared" ca="1" si="27"/>
        <v/>
      </c>
    </row>
    <row r="209" spans="3:23" x14ac:dyDescent="0.35">
      <c r="C209" s="42" t="str">
        <f>IF(OR(Overview!$D$33="",Overview!$E$33=""),"",IF(Overview!$D$33+197&gt;Overview!$E$33,"",Overview!$D$33+197))</f>
        <v/>
      </c>
      <c r="D209" s="43" t="str">
        <f t="shared" ca="1" si="25"/>
        <v/>
      </c>
      <c r="E209" s="43" t="str">
        <f t="shared" ca="1" si="25"/>
        <v/>
      </c>
      <c r="F209" s="43" t="str">
        <f t="shared" ca="1" si="25"/>
        <v/>
      </c>
      <c r="G209" s="43" t="str">
        <f t="shared" ca="1" si="25"/>
        <v/>
      </c>
      <c r="H209" s="43" t="str">
        <f t="shared" ca="1" si="25"/>
        <v/>
      </c>
      <c r="I209" s="43" t="str">
        <f t="shared" ca="1" si="25"/>
        <v/>
      </c>
      <c r="J209" s="43" t="str">
        <f t="shared" ca="1" si="25"/>
        <v/>
      </c>
      <c r="K209" s="43" t="str">
        <f t="shared" ca="1" si="25"/>
        <v/>
      </c>
      <c r="L209" s="43" t="str">
        <f t="shared" ca="1" si="25"/>
        <v/>
      </c>
      <c r="M209" s="43" t="str">
        <f t="shared" ca="1" si="25"/>
        <v/>
      </c>
      <c r="N209" s="43" t="str">
        <f t="shared" ca="1" si="25"/>
        <v/>
      </c>
      <c r="O209" s="43" t="str">
        <f t="shared" ca="1" si="25"/>
        <v/>
      </c>
      <c r="P209" s="43" t="str">
        <f t="shared" ca="1" si="25"/>
        <v/>
      </c>
      <c r="Q209" s="43" t="str">
        <f t="shared" ca="1" si="25"/>
        <v/>
      </c>
      <c r="R209" s="43" t="str">
        <f t="shared" ca="1" si="25"/>
        <v/>
      </c>
      <c r="S209" s="44" t="str">
        <f t="shared" si="26"/>
        <v/>
      </c>
      <c r="T209" s="43" t="str">
        <f>IF($C209="","",SUMIFS(Overview!$G$18:$G$32,Overview!$D$18:$D$32,"&lt;="&amp;$C209,Overview!$E$18:$E$32,"&gt;="&amp;$C209))</f>
        <v/>
      </c>
      <c r="U209" s="43" t="str">
        <f ca="1">IF(OR($C209="",Overview!$I$33=""),"",IF($C209&gt;Overview!$I$33,"",SUM($S$12:S209)))</f>
        <v/>
      </c>
      <c r="V209" s="43" t="str">
        <f>IF($C209="","",SUM($T$12:T209))</f>
        <v/>
      </c>
      <c r="W209" s="45" t="str">
        <f t="shared" ca="1" si="27"/>
        <v/>
      </c>
    </row>
    <row r="210" spans="3:23" x14ac:dyDescent="0.35">
      <c r="C210" s="42" t="str">
        <f>IF(OR(Overview!$D$33="",Overview!$E$33=""),"",IF(Overview!$D$33+198&gt;Overview!$E$33,"",Overview!$D$33+198))</f>
        <v/>
      </c>
      <c r="D210" s="43" t="str">
        <f t="shared" ca="1" si="25"/>
        <v/>
      </c>
      <c r="E210" s="43" t="str">
        <f t="shared" ca="1" si="25"/>
        <v/>
      </c>
      <c r="F210" s="43" t="str">
        <f t="shared" ca="1" si="25"/>
        <v/>
      </c>
      <c r="G210" s="43" t="str">
        <f t="shared" ca="1" si="25"/>
        <v/>
      </c>
      <c r="H210" s="43" t="str">
        <f t="shared" ca="1" si="25"/>
        <v/>
      </c>
      <c r="I210" s="43" t="str">
        <f t="shared" ca="1" si="25"/>
        <v/>
      </c>
      <c r="J210" s="43" t="str">
        <f t="shared" ca="1" si="25"/>
        <v/>
      </c>
      <c r="K210" s="43" t="str">
        <f t="shared" ca="1" si="25"/>
        <v/>
      </c>
      <c r="L210" s="43" t="str">
        <f t="shared" ca="1" si="25"/>
        <v/>
      </c>
      <c r="M210" s="43" t="str">
        <f t="shared" ca="1" si="25"/>
        <v/>
      </c>
      <c r="N210" s="43" t="str">
        <f t="shared" ca="1" si="25"/>
        <v/>
      </c>
      <c r="O210" s="43" t="str">
        <f t="shared" ca="1" si="25"/>
        <v/>
      </c>
      <c r="P210" s="43" t="str">
        <f t="shared" ca="1" si="25"/>
        <v/>
      </c>
      <c r="Q210" s="43" t="str">
        <f t="shared" ca="1" si="25"/>
        <v/>
      </c>
      <c r="R210" s="43" t="str">
        <f t="shared" ca="1" si="25"/>
        <v/>
      </c>
      <c r="S210" s="44" t="str">
        <f t="shared" si="26"/>
        <v/>
      </c>
      <c r="T210" s="43" t="str">
        <f>IF($C210="","",SUMIFS(Overview!$G$18:$G$32,Overview!$D$18:$D$32,"&lt;="&amp;$C210,Overview!$E$18:$E$32,"&gt;="&amp;$C210))</f>
        <v/>
      </c>
      <c r="U210" s="43" t="str">
        <f ca="1">IF(OR($C210="",Overview!$I$33=""),"",IF($C210&gt;Overview!$I$33,"",SUM($S$12:S210)))</f>
        <v/>
      </c>
      <c r="V210" s="43" t="str">
        <f>IF($C210="","",SUM($T$12:T210))</f>
        <v/>
      </c>
      <c r="W210" s="45" t="str">
        <f t="shared" ca="1" si="27"/>
        <v/>
      </c>
    </row>
    <row r="211" spans="3:23" x14ac:dyDescent="0.35">
      <c r="C211" s="42" t="str">
        <f>IF(OR(Overview!$D$33="",Overview!$E$33=""),"",IF(Overview!$D$33+199&gt;Overview!$E$33,"",Overview!$D$33+199))</f>
        <v/>
      </c>
      <c r="D211" s="43" t="str">
        <f t="shared" ca="1" si="25"/>
        <v/>
      </c>
      <c r="E211" s="43" t="str">
        <f t="shared" ca="1" si="25"/>
        <v/>
      </c>
      <c r="F211" s="43" t="str">
        <f t="shared" ca="1" si="25"/>
        <v/>
      </c>
      <c r="G211" s="43" t="str">
        <f t="shared" ca="1" si="25"/>
        <v/>
      </c>
      <c r="H211" s="43" t="str">
        <f t="shared" ca="1" si="25"/>
        <v/>
      </c>
      <c r="I211" s="43" t="str">
        <f t="shared" ca="1" si="25"/>
        <v/>
      </c>
      <c r="J211" s="43" t="str">
        <f t="shared" ca="1" si="25"/>
        <v/>
      </c>
      <c r="K211" s="43" t="str">
        <f t="shared" ca="1" si="25"/>
        <v/>
      </c>
      <c r="L211" s="43" t="str">
        <f t="shared" ca="1" si="25"/>
        <v/>
      </c>
      <c r="M211" s="43" t="str">
        <f t="shared" ca="1" si="25"/>
        <v/>
      </c>
      <c r="N211" s="43" t="str">
        <f t="shared" ca="1" si="25"/>
        <v/>
      </c>
      <c r="O211" s="43" t="str">
        <f t="shared" ca="1" si="25"/>
        <v/>
      </c>
      <c r="P211" s="43" t="str">
        <f t="shared" ca="1" si="25"/>
        <v/>
      </c>
      <c r="Q211" s="43" t="str">
        <f t="shared" ca="1" si="25"/>
        <v/>
      </c>
      <c r="R211" s="43" t="str">
        <f t="shared" ca="1" si="25"/>
        <v/>
      </c>
      <c r="S211" s="44" t="str">
        <f t="shared" si="26"/>
        <v/>
      </c>
      <c r="T211" s="43" t="str">
        <f>IF($C211="","",SUMIFS(Overview!$G$18:$G$32,Overview!$D$18:$D$32,"&lt;="&amp;$C211,Overview!$E$18:$E$32,"&gt;="&amp;$C211))</f>
        <v/>
      </c>
      <c r="U211" s="43" t="str">
        <f ca="1">IF(OR($C211="",Overview!$I$33=""),"",IF($C211&gt;Overview!$I$33,"",SUM($S$12:S211)))</f>
        <v/>
      </c>
      <c r="V211" s="43" t="str">
        <f>IF($C211="","",SUM($T$12:T211))</f>
        <v/>
      </c>
      <c r="W211" s="45" t="str">
        <f t="shared" ca="1" si="27"/>
        <v/>
      </c>
    </row>
    <row r="212" spans="3:23" x14ac:dyDescent="0.35">
      <c r="C212" s="42" t="str">
        <f>IF(OR(Overview!$D$33="",Overview!$E$33=""),"",IF(Overview!$D$33+200&gt;Overview!$E$33,"",Overview!$D$33+200))</f>
        <v/>
      </c>
      <c r="D212" s="43" t="str">
        <f t="shared" ref="D212:R221" ca="1" si="28">IF(OR($C212="",D$11=""),"",IFERROR(SUMIFS(INDIRECT("'"&amp;D$11&amp;"'!$F$14:$F$10013"),INDIRECT("'"&amp;D$11&amp;"'!$C$14:$C$10013"),$C212),""))</f>
        <v/>
      </c>
      <c r="E212" s="43" t="str">
        <f t="shared" ca="1" si="28"/>
        <v/>
      </c>
      <c r="F212" s="43" t="str">
        <f t="shared" ca="1" si="28"/>
        <v/>
      </c>
      <c r="G212" s="43" t="str">
        <f t="shared" ca="1" si="28"/>
        <v/>
      </c>
      <c r="H212" s="43" t="str">
        <f t="shared" ca="1" si="28"/>
        <v/>
      </c>
      <c r="I212" s="43" t="str">
        <f t="shared" ca="1" si="28"/>
        <v/>
      </c>
      <c r="J212" s="43" t="str">
        <f t="shared" ca="1" si="28"/>
        <v/>
      </c>
      <c r="K212" s="43" t="str">
        <f t="shared" ca="1" si="28"/>
        <v/>
      </c>
      <c r="L212" s="43" t="str">
        <f t="shared" ca="1" si="28"/>
        <v/>
      </c>
      <c r="M212" s="43" t="str">
        <f t="shared" ca="1" si="28"/>
        <v/>
      </c>
      <c r="N212" s="43" t="str">
        <f t="shared" ca="1" si="28"/>
        <v/>
      </c>
      <c r="O212" s="43" t="str">
        <f t="shared" ca="1" si="28"/>
        <v/>
      </c>
      <c r="P212" s="43" t="str">
        <f t="shared" ca="1" si="28"/>
        <v/>
      </c>
      <c r="Q212" s="43" t="str">
        <f t="shared" ca="1" si="28"/>
        <v/>
      </c>
      <c r="R212" s="43" t="str">
        <f t="shared" ca="1" si="28"/>
        <v/>
      </c>
      <c r="S212" s="44" t="str">
        <f t="shared" si="26"/>
        <v/>
      </c>
      <c r="T212" s="43" t="str">
        <f>IF($C212="","",SUMIFS(Overview!$G$18:$G$32,Overview!$D$18:$D$32,"&lt;="&amp;$C212,Overview!$E$18:$E$32,"&gt;="&amp;$C212))</f>
        <v/>
      </c>
      <c r="U212" s="43" t="str">
        <f ca="1">IF(OR($C212="",Overview!$I$33=""),"",IF($C212&gt;Overview!$I$33,"",SUM($S$12:S212)))</f>
        <v/>
      </c>
      <c r="V212" s="43" t="str">
        <f>IF($C212="","",SUM($T$12:T212))</f>
        <v/>
      </c>
      <c r="W212" s="45" t="str">
        <f t="shared" ca="1" si="27"/>
        <v/>
      </c>
    </row>
    <row r="213" spans="3:23" x14ac:dyDescent="0.35">
      <c r="C213" s="42" t="str">
        <f>IF(OR(Overview!$D$33="",Overview!$E$33=""),"",IF(Overview!$D$33+201&gt;Overview!$E$33,"",Overview!$D$33+201))</f>
        <v/>
      </c>
      <c r="D213" s="43" t="str">
        <f t="shared" ca="1" si="28"/>
        <v/>
      </c>
      <c r="E213" s="43" t="str">
        <f t="shared" ca="1" si="28"/>
        <v/>
      </c>
      <c r="F213" s="43" t="str">
        <f t="shared" ca="1" si="28"/>
        <v/>
      </c>
      <c r="G213" s="43" t="str">
        <f t="shared" ca="1" si="28"/>
        <v/>
      </c>
      <c r="H213" s="43" t="str">
        <f t="shared" ca="1" si="28"/>
        <v/>
      </c>
      <c r="I213" s="43" t="str">
        <f t="shared" ca="1" si="28"/>
        <v/>
      </c>
      <c r="J213" s="43" t="str">
        <f t="shared" ca="1" si="28"/>
        <v/>
      </c>
      <c r="K213" s="43" t="str">
        <f t="shared" ca="1" si="28"/>
        <v/>
      </c>
      <c r="L213" s="43" t="str">
        <f t="shared" ca="1" si="28"/>
        <v/>
      </c>
      <c r="M213" s="43" t="str">
        <f t="shared" ca="1" si="28"/>
        <v/>
      </c>
      <c r="N213" s="43" t="str">
        <f t="shared" ca="1" si="28"/>
        <v/>
      </c>
      <c r="O213" s="43" t="str">
        <f t="shared" ca="1" si="28"/>
        <v/>
      </c>
      <c r="P213" s="43" t="str">
        <f t="shared" ca="1" si="28"/>
        <v/>
      </c>
      <c r="Q213" s="43" t="str">
        <f t="shared" ca="1" si="28"/>
        <v/>
      </c>
      <c r="R213" s="43" t="str">
        <f t="shared" ca="1" si="28"/>
        <v/>
      </c>
      <c r="S213" s="44" t="str">
        <f t="shared" si="26"/>
        <v/>
      </c>
      <c r="T213" s="43" t="str">
        <f>IF($C213="","",SUMIFS(Overview!$G$18:$G$32,Overview!$D$18:$D$32,"&lt;="&amp;$C213,Overview!$E$18:$E$32,"&gt;="&amp;$C213))</f>
        <v/>
      </c>
      <c r="U213" s="43" t="str">
        <f ca="1">IF(OR($C213="",Overview!$I$33=""),"",IF($C213&gt;Overview!$I$33,"",SUM($S$12:S213)))</f>
        <v/>
      </c>
      <c r="V213" s="43" t="str">
        <f>IF($C213="","",SUM($T$12:T213))</f>
        <v/>
      </c>
      <c r="W213" s="45" t="str">
        <f t="shared" ca="1" si="27"/>
        <v/>
      </c>
    </row>
    <row r="214" spans="3:23" x14ac:dyDescent="0.35">
      <c r="C214" s="42" t="str">
        <f>IF(OR(Overview!$D$33="",Overview!$E$33=""),"",IF(Overview!$D$33+202&gt;Overview!$E$33,"",Overview!$D$33+202))</f>
        <v/>
      </c>
      <c r="D214" s="43" t="str">
        <f t="shared" ca="1" si="28"/>
        <v/>
      </c>
      <c r="E214" s="43" t="str">
        <f t="shared" ca="1" si="28"/>
        <v/>
      </c>
      <c r="F214" s="43" t="str">
        <f t="shared" ca="1" si="28"/>
        <v/>
      </c>
      <c r="G214" s="43" t="str">
        <f t="shared" ca="1" si="28"/>
        <v/>
      </c>
      <c r="H214" s="43" t="str">
        <f t="shared" ca="1" si="28"/>
        <v/>
      </c>
      <c r="I214" s="43" t="str">
        <f t="shared" ca="1" si="28"/>
        <v/>
      </c>
      <c r="J214" s="43" t="str">
        <f t="shared" ca="1" si="28"/>
        <v/>
      </c>
      <c r="K214" s="43" t="str">
        <f t="shared" ca="1" si="28"/>
        <v/>
      </c>
      <c r="L214" s="43" t="str">
        <f t="shared" ca="1" si="28"/>
        <v/>
      </c>
      <c r="M214" s="43" t="str">
        <f t="shared" ca="1" si="28"/>
        <v/>
      </c>
      <c r="N214" s="43" t="str">
        <f t="shared" ca="1" si="28"/>
        <v/>
      </c>
      <c r="O214" s="43" t="str">
        <f t="shared" ca="1" si="28"/>
        <v/>
      </c>
      <c r="P214" s="43" t="str">
        <f t="shared" ca="1" si="28"/>
        <v/>
      </c>
      <c r="Q214" s="43" t="str">
        <f t="shared" ca="1" si="28"/>
        <v/>
      </c>
      <c r="R214" s="43" t="str">
        <f t="shared" ca="1" si="28"/>
        <v/>
      </c>
      <c r="S214" s="44" t="str">
        <f t="shared" si="26"/>
        <v/>
      </c>
      <c r="T214" s="43" t="str">
        <f>IF($C214="","",SUMIFS(Overview!$G$18:$G$32,Overview!$D$18:$D$32,"&lt;="&amp;$C214,Overview!$E$18:$E$32,"&gt;="&amp;$C214))</f>
        <v/>
      </c>
      <c r="U214" s="43" t="str">
        <f ca="1">IF(OR($C214="",Overview!$I$33=""),"",IF($C214&gt;Overview!$I$33,"",SUM($S$12:S214)))</f>
        <v/>
      </c>
      <c r="V214" s="43" t="str">
        <f>IF($C214="","",SUM($T$12:T214))</f>
        <v/>
      </c>
      <c r="W214" s="45" t="str">
        <f t="shared" ca="1" si="27"/>
        <v/>
      </c>
    </row>
    <row r="215" spans="3:23" x14ac:dyDescent="0.35">
      <c r="C215" s="42" t="str">
        <f>IF(OR(Overview!$D$33="",Overview!$E$33=""),"",IF(Overview!$D$33+203&gt;Overview!$E$33,"",Overview!$D$33+203))</f>
        <v/>
      </c>
      <c r="D215" s="43" t="str">
        <f t="shared" ca="1" si="28"/>
        <v/>
      </c>
      <c r="E215" s="43" t="str">
        <f t="shared" ca="1" si="28"/>
        <v/>
      </c>
      <c r="F215" s="43" t="str">
        <f t="shared" ca="1" si="28"/>
        <v/>
      </c>
      <c r="G215" s="43" t="str">
        <f t="shared" ca="1" si="28"/>
        <v/>
      </c>
      <c r="H215" s="43" t="str">
        <f t="shared" ca="1" si="28"/>
        <v/>
      </c>
      <c r="I215" s="43" t="str">
        <f t="shared" ca="1" si="28"/>
        <v/>
      </c>
      <c r="J215" s="43" t="str">
        <f t="shared" ca="1" si="28"/>
        <v/>
      </c>
      <c r="K215" s="43" t="str">
        <f t="shared" ca="1" si="28"/>
        <v/>
      </c>
      <c r="L215" s="43" t="str">
        <f t="shared" ca="1" si="28"/>
        <v/>
      </c>
      <c r="M215" s="43" t="str">
        <f t="shared" ca="1" si="28"/>
        <v/>
      </c>
      <c r="N215" s="43" t="str">
        <f t="shared" ca="1" si="28"/>
        <v/>
      </c>
      <c r="O215" s="43" t="str">
        <f t="shared" ca="1" si="28"/>
        <v/>
      </c>
      <c r="P215" s="43" t="str">
        <f t="shared" ca="1" si="28"/>
        <v/>
      </c>
      <c r="Q215" s="43" t="str">
        <f t="shared" ca="1" si="28"/>
        <v/>
      </c>
      <c r="R215" s="43" t="str">
        <f t="shared" ca="1" si="28"/>
        <v/>
      </c>
      <c r="S215" s="44" t="str">
        <f t="shared" si="26"/>
        <v/>
      </c>
      <c r="T215" s="43" t="str">
        <f>IF($C215="","",SUMIFS(Overview!$G$18:$G$32,Overview!$D$18:$D$32,"&lt;="&amp;$C215,Overview!$E$18:$E$32,"&gt;="&amp;$C215))</f>
        <v/>
      </c>
      <c r="U215" s="43" t="str">
        <f ca="1">IF(OR($C215="",Overview!$I$33=""),"",IF($C215&gt;Overview!$I$33,"",SUM($S$12:S215)))</f>
        <v/>
      </c>
      <c r="V215" s="43" t="str">
        <f>IF($C215="","",SUM($T$12:T215))</f>
        <v/>
      </c>
      <c r="W215" s="45" t="str">
        <f t="shared" ca="1" si="27"/>
        <v/>
      </c>
    </row>
    <row r="216" spans="3:23" x14ac:dyDescent="0.35">
      <c r="C216" s="42" t="str">
        <f>IF(OR(Overview!$D$33="",Overview!$E$33=""),"",IF(Overview!$D$33+204&gt;Overview!$E$33,"",Overview!$D$33+204))</f>
        <v/>
      </c>
      <c r="D216" s="43" t="str">
        <f t="shared" ca="1" si="28"/>
        <v/>
      </c>
      <c r="E216" s="43" t="str">
        <f t="shared" ca="1" si="28"/>
        <v/>
      </c>
      <c r="F216" s="43" t="str">
        <f t="shared" ca="1" si="28"/>
        <v/>
      </c>
      <c r="G216" s="43" t="str">
        <f t="shared" ca="1" si="28"/>
        <v/>
      </c>
      <c r="H216" s="43" t="str">
        <f t="shared" ca="1" si="28"/>
        <v/>
      </c>
      <c r="I216" s="43" t="str">
        <f t="shared" ca="1" si="28"/>
        <v/>
      </c>
      <c r="J216" s="43" t="str">
        <f t="shared" ca="1" si="28"/>
        <v/>
      </c>
      <c r="K216" s="43" t="str">
        <f t="shared" ca="1" si="28"/>
        <v/>
      </c>
      <c r="L216" s="43" t="str">
        <f t="shared" ca="1" si="28"/>
        <v/>
      </c>
      <c r="M216" s="43" t="str">
        <f t="shared" ca="1" si="28"/>
        <v/>
      </c>
      <c r="N216" s="43" t="str">
        <f t="shared" ca="1" si="28"/>
        <v/>
      </c>
      <c r="O216" s="43" t="str">
        <f t="shared" ca="1" si="28"/>
        <v/>
      </c>
      <c r="P216" s="43" t="str">
        <f t="shared" ca="1" si="28"/>
        <v/>
      </c>
      <c r="Q216" s="43" t="str">
        <f t="shared" ca="1" si="28"/>
        <v/>
      </c>
      <c r="R216" s="43" t="str">
        <f t="shared" ca="1" si="28"/>
        <v/>
      </c>
      <c r="S216" s="44" t="str">
        <f t="shared" si="26"/>
        <v/>
      </c>
      <c r="T216" s="43" t="str">
        <f>IF($C216="","",SUMIFS(Overview!$G$18:$G$32,Overview!$D$18:$D$32,"&lt;="&amp;$C216,Overview!$E$18:$E$32,"&gt;="&amp;$C216))</f>
        <v/>
      </c>
      <c r="U216" s="43" t="str">
        <f ca="1">IF(OR($C216="",Overview!$I$33=""),"",IF($C216&gt;Overview!$I$33,"",SUM($S$12:S216)))</f>
        <v/>
      </c>
      <c r="V216" s="43" t="str">
        <f>IF($C216="","",SUM($T$12:T216))</f>
        <v/>
      </c>
      <c r="W216" s="45" t="str">
        <f t="shared" ca="1" si="27"/>
        <v/>
      </c>
    </row>
    <row r="217" spans="3:23" x14ac:dyDescent="0.35">
      <c r="C217" s="42" t="str">
        <f>IF(OR(Overview!$D$33="",Overview!$E$33=""),"",IF(Overview!$D$33+205&gt;Overview!$E$33,"",Overview!$D$33+205))</f>
        <v/>
      </c>
      <c r="D217" s="43" t="str">
        <f t="shared" ca="1" si="28"/>
        <v/>
      </c>
      <c r="E217" s="43" t="str">
        <f t="shared" ca="1" si="28"/>
        <v/>
      </c>
      <c r="F217" s="43" t="str">
        <f t="shared" ca="1" si="28"/>
        <v/>
      </c>
      <c r="G217" s="43" t="str">
        <f t="shared" ca="1" si="28"/>
        <v/>
      </c>
      <c r="H217" s="43" t="str">
        <f t="shared" ca="1" si="28"/>
        <v/>
      </c>
      <c r="I217" s="43" t="str">
        <f t="shared" ca="1" si="28"/>
        <v/>
      </c>
      <c r="J217" s="43" t="str">
        <f t="shared" ca="1" si="28"/>
        <v/>
      </c>
      <c r="K217" s="43" t="str">
        <f t="shared" ca="1" si="28"/>
        <v/>
      </c>
      <c r="L217" s="43" t="str">
        <f t="shared" ca="1" si="28"/>
        <v/>
      </c>
      <c r="M217" s="43" t="str">
        <f t="shared" ca="1" si="28"/>
        <v/>
      </c>
      <c r="N217" s="43" t="str">
        <f t="shared" ca="1" si="28"/>
        <v/>
      </c>
      <c r="O217" s="43" t="str">
        <f t="shared" ca="1" si="28"/>
        <v/>
      </c>
      <c r="P217" s="43" t="str">
        <f t="shared" ca="1" si="28"/>
        <v/>
      </c>
      <c r="Q217" s="43" t="str">
        <f t="shared" ca="1" si="28"/>
        <v/>
      </c>
      <c r="R217" s="43" t="str">
        <f t="shared" ca="1" si="28"/>
        <v/>
      </c>
      <c r="S217" s="44" t="str">
        <f t="shared" si="26"/>
        <v/>
      </c>
      <c r="T217" s="43" t="str">
        <f>IF($C217="","",SUMIFS(Overview!$G$18:$G$32,Overview!$D$18:$D$32,"&lt;="&amp;$C217,Overview!$E$18:$E$32,"&gt;="&amp;$C217))</f>
        <v/>
      </c>
      <c r="U217" s="43" t="str">
        <f ca="1">IF(OR($C217="",Overview!$I$33=""),"",IF($C217&gt;Overview!$I$33,"",SUM($S$12:S217)))</f>
        <v/>
      </c>
      <c r="V217" s="43" t="str">
        <f>IF($C217="","",SUM($T$12:T217))</f>
        <v/>
      </c>
      <c r="W217" s="45" t="str">
        <f t="shared" ca="1" si="27"/>
        <v/>
      </c>
    </row>
    <row r="218" spans="3:23" x14ac:dyDescent="0.35">
      <c r="C218" s="42" t="str">
        <f>IF(OR(Overview!$D$33="",Overview!$E$33=""),"",IF(Overview!$D$33+206&gt;Overview!$E$33,"",Overview!$D$33+206))</f>
        <v/>
      </c>
      <c r="D218" s="43" t="str">
        <f t="shared" ca="1" si="28"/>
        <v/>
      </c>
      <c r="E218" s="43" t="str">
        <f t="shared" ca="1" si="28"/>
        <v/>
      </c>
      <c r="F218" s="43" t="str">
        <f t="shared" ca="1" si="28"/>
        <v/>
      </c>
      <c r="G218" s="43" t="str">
        <f t="shared" ca="1" si="28"/>
        <v/>
      </c>
      <c r="H218" s="43" t="str">
        <f t="shared" ca="1" si="28"/>
        <v/>
      </c>
      <c r="I218" s="43" t="str">
        <f t="shared" ca="1" si="28"/>
        <v/>
      </c>
      <c r="J218" s="43" t="str">
        <f t="shared" ca="1" si="28"/>
        <v/>
      </c>
      <c r="K218" s="43" t="str">
        <f t="shared" ca="1" si="28"/>
        <v/>
      </c>
      <c r="L218" s="43" t="str">
        <f t="shared" ca="1" si="28"/>
        <v/>
      </c>
      <c r="M218" s="43" t="str">
        <f t="shared" ca="1" si="28"/>
        <v/>
      </c>
      <c r="N218" s="43" t="str">
        <f t="shared" ca="1" si="28"/>
        <v/>
      </c>
      <c r="O218" s="43" t="str">
        <f t="shared" ca="1" si="28"/>
        <v/>
      </c>
      <c r="P218" s="43" t="str">
        <f t="shared" ca="1" si="28"/>
        <v/>
      </c>
      <c r="Q218" s="43" t="str">
        <f t="shared" ca="1" si="28"/>
        <v/>
      </c>
      <c r="R218" s="43" t="str">
        <f t="shared" ca="1" si="28"/>
        <v/>
      </c>
      <c r="S218" s="44" t="str">
        <f t="shared" si="26"/>
        <v/>
      </c>
      <c r="T218" s="43" t="str">
        <f>IF($C218="","",SUMIFS(Overview!$G$18:$G$32,Overview!$D$18:$D$32,"&lt;="&amp;$C218,Overview!$E$18:$E$32,"&gt;="&amp;$C218))</f>
        <v/>
      </c>
      <c r="U218" s="43" t="str">
        <f ca="1">IF(OR($C218="",Overview!$I$33=""),"",IF($C218&gt;Overview!$I$33,"",SUM($S$12:S218)))</f>
        <v/>
      </c>
      <c r="V218" s="43" t="str">
        <f>IF($C218="","",SUM($T$12:T218))</f>
        <v/>
      </c>
      <c r="W218" s="45" t="str">
        <f t="shared" ca="1" si="27"/>
        <v/>
      </c>
    </row>
    <row r="219" spans="3:23" x14ac:dyDescent="0.35">
      <c r="C219" s="42" t="str">
        <f>IF(OR(Overview!$D$33="",Overview!$E$33=""),"",IF(Overview!$D$33+207&gt;Overview!$E$33,"",Overview!$D$33+207))</f>
        <v/>
      </c>
      <c r="D219" s="43" t="str">
        <f t="shared" ca="1" si="28"/>
        <v/>
      </c>
      <c r="E219" s="43" t="str">
        <f t="shared" ca="1" si="28"/>
        <v/>
      </c>
      <c r="F219" s="43" t="str">
        <f t="shared" ca="1" si="28"/>
        <v/>
      </c>
      <c r="G219" s="43" t="str">
        <f t="shared" ca="1" si="28"/>
        <v/>
      </c>
      <c r="H219" s="43" t="str">
        <f t="shared" ca="1" si="28"/>
        <v/>
      </c>
      <c r="I219" s="43" t="str">
        <f t="shared" ca="1" si="28"/>
        <v/>
      </c>
      <c r="J219" s="43" t="str">
        <f t="shared" ca="1" si="28"/>
        <v/>
      </c>
      <c r="K219" s="43" t="str">
        <f t="shared" ca="1" si="28"/>
        <v/>
      </c>
      <c r="L219" s="43" t="str">
        <f t="shared" ca="1" si="28"/>
        <v/>
      </c>
      <c r="M219" s="43" t="str">
        <f t="shared" ca="1" si="28"/>
        <v/>
      </c>
      <c r="N219" s="43" t="str">
        <f t="shared" ca="1" si="28"/>
        <v/>
      </c>
      <c r="O219" s="43" t="str">
        <f t="shared" ca="1" si="28"/>
        <v/>
      </c>
      <c r="P219" s="43" t="str">
        <f t="shared" ca="1" si="28"/>
        <v/>
      </c>
      <c r="Q219" s="43" t="str">
        <f t="shared" ca="1" si="28"/>
        <v/>
      </c>
      <c r="R219" s="43" t="str">
        <f t="shared" ca="1" si="28"/>
        <v/>
      </c>
      <c r="S219" s="44" t="str">
        <f t="shared" si="26"/>
        <v/>
      </c>
      <c r="T219" s="43" t="str">
        <f>IF($C219="","",SUMIFS(Overview!$G$18:$G$32,Overview!$D$18:$D$32,"&lt;="&amp;$C219,Overview!$E$18:$E$32,"&gt;="&amp;$C219))</f>
        <v/>
      </c>
      <c r="U219" s="43" t="str">
        <f ca="1">IF(OR($C219="",Overview!$I$33=""),"",IF($C219&gt;Overview!$I$33,"",SUM($S$12:S219)))</f>
        <v/>
      </c>
      <c r="V219" s="43" t="str">
        <f>IF($C219="","",SUM($T$12:T219))</f>
        <v/>
      </c>
      <c r="W219" s="45" t="str">
        <f t="shared" ca="1" si="27"/>
        <v/>
      </c>
    </row>
    <row r="220" spans="3:23" x14ac:dyDescent="0.35">
      <c r="C220" s="42" t="str">
        <f>IF(OR(Overview!$D$33="",Overview!$E$33=""),"",IF(Overview!$D$33+208&gt;Overview!$E$33,"",Overview!$D$33+208))</f>
        <v/>
      </c>
      <c r="D220" s="43" t="str">
        <f t="shared" ca="1" si="28"/>
        <v/>
      </c>
      <c r="E220" s="43" t="str">
        <f t="shared" ca="1" si="28"/>
        <v/>
      </c>
      <c r="F220" s="43" t="str">
        <f t="shared" ca="1" si="28"/>
        <v/>
      </c>
      <c r="G220" s="43" t="str">
        <f t="shared" ca="1" si="28"/>
        <v/>
      </c>
      <c r="H220" s="43" t="str">
        <f t="shared" ca="1" si="28"/>
        <v/>
      </c>
      <c r="I220" s="43" t="str">
        <f t="shared" ca="1" si="28"/>
        <v/>
      </c>
      <c r="J220" s="43" t="str">
        <f t="shared" ca="1" si="28"/>
        <v/>
      </c>
      <c r="K220" s="43" t="str">
        <f t="shared" ca="1" si="28"/>
        <v/>
      </c>
      <c r="L220" s="43" t="str">
        <f t="shared" ca="1" si="28"/>
        <v/>
      </c>
      <c r="M220" s="43" t="str">
        <f t="shared" ca="1" si="28"/>
        <v/>
      </c>
      <c r="N220" s="43" t="str">
        <f t="shared" ca="1" si="28"/>
        <v/>
      </c>
      <c r="O220" s="43" t="str">
        <f t="shared" ca="1" si="28"/>
        <v/>
      </c>
      <c r="P220" s="43" t="str">
        <f t="shared" ca="1" si="28"/>
        <v/>
      </c>
      <c r="Q220" s="43" t="str">
        <f t="shared" ca="1" si="28"/>
        <v/>
      </c>
      <c r="R220" s="43" t="str">
        <f t="shared" ca="1" si="28"/>
        <v/>
      </c>
      <c r="S220" s="44" t="str">
        <f t="shared" si="26"/>
        <v/>
      </c>
      <c r="T220" s="43" t="str">
        <f>IF($C220="","",SUMIFS(Overview!$G$18:$G$32,Overview!$D$18:$D$32,"&lt;="&amp;$C220,Overview!$E$18:$E$32,"&gt;="&amp;$C220))</f>
        <v/>
      </c>
      <c r="U220" s="43" t="str">
        <f ca="1">IF(OR($C220="",Overview!$I$33=""),"",IF($C220&gt;Overview!$I$33,"",SUM($S$12:S220)))</f>
        <v/>
      </c>
      <c r="V220" s="43" t="str">
        <f>IF($C220="","",SUM($T$12:T220))</f>
        <v/>
      </c>
      <c r="W220" s="45" t="str">
        <f t="shared" ca="1" si="27"/>
        <v/>
      </c>
    </row>
    <row r="221" spans="3:23" x14ac:dyDescent="0.35">
      <c r="C221" s="42" t="str">
        <f>IF(OR(Overview!$D$33="",Overview!$E$33=""),"",IF(Overview!$D$33+209&gt;Overview!$E$33,"",Overview!$D$33+209))</f>
        <v/>
      </c>
      <c r="D221" s="43" t="str">
        <f t="shared" ca="1" si="28"/>
        <v/>
      </c>
      <c r="E221" s="43" t="str">
        <f t="shared" ca="1" si="28"/>
        <v/>
      </c>
      <c r="F221" s="43" t="str">
        <f t="shared" ca="1" si="28"/>
        <v/>
      </c>
      <c r="G221" s="43" t="str">
        <f t="shared" ca="1" si="28"/>
        <v/>
      </c>
      <c r="H221" s="43" t="str">
        <f t="shared" ca="1" si="28"/>
        <v/>
      </c>
      <c r="I221" s="43" t="str">
        <f t="shared" ca="1" si="28"/>
        <v/>
      </c>
      <c r="J221" s="43" t="str">
        <f t="shared" ca="1" si="28"/>
        <v/>
      </c>
      <c r="K221" s="43" t="str">
        <f t="shared" ca="1" si="28"/>
        <v/>
      </c>
      <c r="L221" s="43" t="str">
        <f t="shared" ca="1" si="28"/>
        <v/>
      </c>
      <c r="M221" s="43" t="str">
        <f t="shared" ca="1" si="28"/>
        <v/>
      </c>
      <c r="N221" s="43" t="str">
        <f t="shared" ca="1" si="28"/>
        <v/>
      </c>
      <c r="O221" s="43" t="str">
        <f t="shared" ca="1" si="28"/>
        <v/>
      </c>
      <c r="P221" s="43" t="str">
        <f t="shared" ca="1" si="28"/>
        <v/>
      </c>
      <c r="Q221" s="43" t="str">
        <f t="shared" ca="1" si="28"/>
        <v/>
      </c>
      <c r="R221" s="43" t="str">
        <f t="shared" ca="1" si="28"/>
        <v/>
      </c>
      <c r="S221" s="44" t="str">
        <f t="shared" si="26"/>
        <v/>
      </c>
      <c r="T221" s="43" t="str">
        <f>IF($C221="","",SUMIFS(Overview!$G$18:$G$32,Overview!$D$18:$D$32,"&lt;="&amp;$C221,Overview!$E$18:$E$32,"&gt;="&amp;$C221))</f>
        <v/>
      </c>
      <c r="U221" s="43" t="str">
        <f ca="1">IF(OR($C221="",Overview!$I$33=""),"",IF($C221&gt;Overview!$I$33,"",SUM($S$12:S221)))</f>
        <v/>
      </c>
      <c r="V221" s="43" t="str">
        <f>IF($C221="","",SUM($T$12:T221))</f>
        <v/>
      </c>
      <c r="W221" s="45" t="str">
        <f t="shared" ca="1" si="27"/>
        <v/>
      </c>
    </row>
    <row r="222" spans="3:23" x14ac:dyDescent="0.35">
      <c r="C222" s="42" t="str">
        <f>IF(OR(Overview!$D$33="",Overview!$E$33=""),"",IF(Overview!$D$33+210&gt;Overview!$E$33,"",Overview!$D$33+210))</f>
        <v/>
      </c>
      <c r="D222" s="43" t="str">
        <f t="shared" ref="D222:R231" ca="1" si="29">IF(OR($C222="",D$11=""),"",IFERROR(SUMIFS(INDIRECT("'"&amp;D$11&amp;"'!$F$14:$F$10013"),INDIRECT("'"&amp;D$11&amp;"'!$C$14:$C$10013"),$C222),""))</f>
        <v/>
      </c>
      <c r="E222" s="43" t="str">
        <f t="shared" ca="1" si="29"/>
        <v/>
      </c>
      <c r="F222" s="43" t="str">
        <f t="shared" ca="1" si="29"/>
        <v/>
      </c>
      <c r="G222" s="43" t="str">
        <f t="shared" ca="1" si="29"/>
        <v/>
      </c>
      <c r="H222" s="43" t="str">
        <f t="shared" ca="1" si="29"/>
        <v/>
      </c>
      <c r="I222" s="43" t="str">
        <f t="shared" ca="1" si="29"/>
        <v/>
      </c>
      <c r="J222" s="43" t="str">
        <f t="shared" ca="1" si="29"/>
        <v/>
      </c>
      <c r="K222" s="43" t="str">
        <f t="shared" ca="1" si="29"/>
        <v/>
      </c>
      <c r="L222" s="43" t="str">
        <f t="shared" ca="1" si="29"/>
        <v/>
      </c>
      <c r="M222" s="43" t="str">
        <f t="shared" ca="1" si="29"/>
        <v/>
      </c>
      <c r="N222" s="43" t="str">
        <f t="shared" ca="1" si="29"/>
        <v/>
      </c>
      <c r="O222" s="43" t="str">
        <f t="shared" ca="1" si="29"/>
        <v/>
      </c>
      <c r="P222" s="43" t="str">
        <f t="shared" ca="1" si="29"/>
        <v/>
      </c>
      <c r="Q222" s="43" t="str">
        <f t="shared" ca="1" si="29"/>
        <v/>
      </c>
      <c r="R222" s="43" t="str">
        <f t="shared" ca="1" si="29"/>
        <v/>
      </c>
      <c r="S222" s="44" t="str">
        <f t="shared" si="26"/>
        <v/>
      </c>
      <c r="T222" s="43" t="str">
        <f>IF($C222="","",SUMIFS(Overview!$G$18:$G$32,Overview!$D$18:$D$32,"&lt;="&amp;$C222,Overview!$E$18:$E$32,"&gt;="&amp;$C222))</f>
        <v/>
      </c>
      <c r="U222" s="43" t="str">
        <f ca="1">IF(OR($C222="",Overview!$I$33=""),"",IF($C222&gt;Overview!$I$33,"",SUM($S$12:S222)))</f>
        <v/>
      </c>
      <c r="V222" s="43" t="str">
        <f>IF($C222="","",SUM($T$12:T222))</f>
        <v/>
      </c>
      <c r="W222" s="45" t="str">
        <f t="shared" ca="1" si="27"/>
        <v/>
      </c>
    </row>
    <row r="223" spans="3:23" x14ac:dyDescent="0.35">
      <c r="C223" s="42" t="str">
        <f>IF(OR(Overview!$D$33="",Overview!$E$33=""),"",IF(Overview!$D$33+211&gt;Overview!$E$33,"",Overview!$D$33+211))</f>
        <v/>
      </c>
      <c r="D223" s="43" t="str">
        <f t="shared" ca="1" si="29"/>
        <v/>
      </c>
      <c r="E223" s="43" t="str">
        <f t="shared" ca="1" si="29"/>
        <v/>
      </c>
      <c r="F223" s="43" t="str">
        <f t="shared" ca="1" si="29"/>
        <v/>
      </c>
      <c r="G223" s="43" t="str">
        <f t="shared" ca="1" si="29"/>
        <v/>
      </c>
      <c r="H223" s="43" t="str">
        <f t="shared" ca="1" si="29"/>
        <v/>
      </c>
      <c r="I223" s="43" t="str">
        <f t="shared" ca="1" si="29"/>
        <v/>
      </c>
      <c r="J223" s="43" t="str">
        <f t="shared" ca="1" si="29"/>
        <v/>
      </c>
      <c r="K223" s="43" t="str">
        <f t="shared" ca="1" si="29"/>
        <v/>
      </c>
      <c r="L223" s="43" t="str">
        <f t="shared" ca="1" si="29"/>
        <v/>
      </c>
      <c r="M223" s="43" t="str">
        <f t="shared" ca="1" si="29"/>
        <v/>
      </c>
      <c r="N223" s="43" t="str">
        <f t="shared" ca="1" si="29"/>
        <v/>
      </c>
      <c r="O223" s="43" t="str">
        <f t="shared" ca="1" si="29"/>
        <v/>
      </c>
      <c r="P223" s="43" t="str">
        <f t="shared" ca="1" si="29"/>
        <v/>
      </c>
      <c r="Q223" s="43" t="str">
        <f t="shared" ca="1" si="29"/>
        <v/>
      </c>
      <c r="R223" s="43" t="str">
        <f t="shared" ca="1" si="29"/>
        <v/>
      </c>
      <c r="S223" s="44" t="str">
        <f t="shared" si="26"/>
        <v/>
      </c>
      <c r="T223" s="43" t="str">
        <f>IF($C223="","",SUMIFS(Overview!$G$18:$G$32,Overview!$D$18:$D$32,"&lt;="&amp;$C223,Overview!$E$18:$E$32,"&gt;="&amp;$C223))</f>
        <v/>
      </c>
      <c r="U223" s="43" t="str">
        <f ca="1">IF(OR($C223="",Overview!$I$33=""),"",IF($C223&gt;Overview!$I$33,"",SUM($S$12:S223)))</f>
        <v/>
      </c>
      <c r="V223" s="43" t="str">
        <f>IF($C223="","",SUM($T$12:T223))</f>
        <v/>
      </c>
      <c r="W223" s="45" t="str">
        <f t="shared" ca="1" si="27"/>
        <v/>
      </c>
    </row>
    <row r="224" spans="3:23" x14ac:dyDescent="0.35">
      <c r="C224" s="42" t="str">
        <f>IF(OR(Overview!$D$33="",Overview!$E$33=""),"",IF(Overview!$D$33+212&gt;Overview!$E$33,"",Overview!$D$33+212))</f>
        <v/>
      </c>
      <c r="D224" s="43" t="str">
        <f t="shared" ca="1" si="29"/>
        <v/>
      </c>
      <c r="E224" s="43" t="str">
        <f t="shared" ca="1" si="29"/>
        <v/>
      </c>
      <c r="F224" s="43" t="str">
        <f t="shared" ca="1" si="29"/>
        <v/>
      </c>
      <c r="G224" s="43" t="str">
        <f t="shared" ca="1" si="29"/>
        <v/>
      </c>
      <c r="H224" s="43" t="str">
        <f t="shared" ca="1" si="29"/>
        <v/>
      </c>
      <c r="I224" s="43" t="str">
        <f t="shared" ca="1" si="29"/>
        <v/>
      </c>
      <c r="J224" s="43" t="str">
        <f t="shared" ca="1" si="29"/>
        <v/>
      </c>
      <c r="K224" s="43" t="str">
        <f t="shared" ca="1" si="29"/>
        <v/>
      </c>
      <c r="L224" s="43" t="str">
        <f t="shared" ca="1" si="29"/>
        <v/>
      </c>
      <c r="M224" s="43" t="str">
        <f t="shared" ca="1" si="29"/>
        <v/>
      </c>
      <c r="N224" s="43" t="str">
        <f t="shared" ca="1" si="29"/>
        <v/>
      </c>
      <c r="O224" s="43" t="str">
        <f t="shared" ca="1" si="29"/>
        <v/>
      </c>
      <c r="P224" s="43" t="str">
        <f t="shared" ca="1" si="29"/>
        <v/>
      </c>
      <c r="Q224" s="43" t="str">
        <f t="shared" ca="1" si="29"/>
        <v/>
      </c>
      <c r="R224" s="43" t="str">
        <f t="shared" ca="1" si="29"/>
        <v/>
      </c>
      <c r="S224" s="44" t="str">
        <f t="shared" si="26"/>
        <v/>
      </c>
      <c r="T224" s="43" t="str">
        <f>IF($C224="","",SUMIFS(Overview!$G$18:$G$32,Overview!$D$18:$D$32,"&lt;="&amp;$C224,Overview!$E$18:$E$32,"&gt;="&amp;$C224))</f>
        <v/>
      </c>
      <c r="U224" s="43" t="str">
        <f ca="1">IF(OR($C224="",Overview!$I$33=""),"",IF($C224&gt;Overview!$I$33,"",SUM($S$12:S224)))</f>
        <v/>
      </c>
      <c r="V224" s="43" t="str">
        <f>IF($C224="","",SUM($T$12:T224))</f>
        <v/>
      </c>
      <c r="W224" s="45" t="str">
        <f t="shared" ca="1" si="27"/>
        <v/>
      </c>
    </row>
    <row r="225" spans="3:23" x14ac:dyDescent="0.35">
      <c r="C225" s="42" t="str">
        <f>IF(OR(Overview!$D$33="",Overview!$E$33=""),"",IF(Overview!$D$33+213&gt;Overview!$E$33,"",Overview!$D$33+213))</f>
        <v/>
      </c>
      <c r="D225" s="43" t="str">
        <f t="shared" ca="1" si="29"/>
        <v/>
      </c>
      <c r="E225" s="43" t="str">
        <f t="shared" ca="1" si="29"/>
        <v/>
      </c>
      <c r="F225" s="43" t="str">
        <f t="shared" ca="1" si="29"/>
        <v/>
      </c>
      <c r="G225" s="43" t="str">
        <f t="shared" ca="1" si="29"/>
        <v/>
      </c>
      <c r="H225" s="43" t="str">
        <f t="shared" ca="1" si="29"/>
        <v/>
      </c>
      <c r="I225" s="43" t="str">
        <f t="shared" ca="1" si="29"/>
        <v/>
      </c>
      <c r="J225" s="43" t="str">
        <f t="shared" ca="1" si="29"/>
        <v/>
      </c>
      <c r="K225" s="43" t="str">
        <f t="shared" ca="1" si="29"/>
        <v/>
      </c>
      <c r="L225" s="43" t="str">
        <f t="shared" ca="1" si="29"/>
        <v/>
      </c>
      <c r="M225" s="43" t="str">
        <f t="shared" ca="1" si="29"/>
        <v/>
      </c>
      <c r="N225" s="43" t="str">
        <f t="shared" ca="1" si="29"/>
        <v/>
      </c>
      <c r="O225" s="43" t="str">
        <f t="shared" ca="1" si="29"/>
        <v/>
      </c>
      <c r="P225" s="43" t="str">
        <f t="shared" ca="1" si="29"/>
        <v/>
      </c>
      <c r="Q225" s="43" t="str">
        <f t="shared" ca="1" si="29"/>
        <v/>
      </c>
      <c r="R225" s="43" t="str">
        <f t="shared" ca="1" si="29"/>
        <v/>
      </c>
      <c r="S225" s="44" t="str">
        <f t="shared" si="26"/>
        <v/>
      </c>
      <c r="T225" s="43" t="str">
        <f>IF($C225="","",SUMIFS(Overview!$G$18:$G$32,Overview!$D$18:$D$32,"&lt;="&amp;$C225,Overview!$E$18:$E$32,"&gt;="&amp;$C225))</f>
        <v/>
      </c>
      <c r="U225" s="43" t="str">
        <f ca="1">IF(OR($C225="",Overview!$I$33=""),"",IF($C225&gt;Overview!$I$33,"",SUM($S$12:S225)))</f>
        <v/>
      </c>
      <c r="V225" s="43" t="str">
        <f>IF($C225="","",SUM($T$12:T225))</f>
        <v/>
      </c>
      <c r="W225" s="45" t="str">
        <f t="shared" ca="1" si="27"/>
        <v/>
      </c>
    </row>
    <row r="226" spans="3:23" x14ac:dyDescent="0.35">
      <c r="C226" s="42" t="str">
        <f>IF(OR(Overview!$D$33="",Overview!$E$33=""),"",IF(Overview!$D$33+214&gt;Overview!$E$33,"",Overview!$D$33+214))</f>
        <v/>
      </c>
      <c r="D226" s="43" t="str">
        <f t="shared" ca="1" si="29"/>
        <v/>
      </c>
      <c r="E226" s="43" t="str">
        <f t="shared" ca="1" si="29"/>
        <v/>
      </c>
      <c r="F226" s="43" t="str">
        <f t="shared" ca="1" si="29"/>
        <v/>
      </c>
      <c r="G226" s="43" t="str">
        <f t="shared" ca="1" si="29"/>
        <v/>
      </c>
      <c r="H226" s="43" t="str">
        <f t="shared" ca="1" si="29"/>
        <v/>
      </c>
      <c r="I226" s="43" t="str">
        <f t="shared" ca="1" si="29"/>
        <v/>
      </c>
      <c r="J226" s="43" t="str">
        <f t="shared" ca="1" si="29"/>
        <v/>
      </c>
      <c r="K226" s="43" t="str">
        <f t="shared" ca="1" si="29"/>
        <v/>
      </c>
      <c r="L226" s="43" t="str">
        <f t="shared" ca="1" si="29"/>
        <v/>
      </c>
      <c r="M226" s="43" t="str">
        <f t="shared" ca="1" si="29"/>
        <v/>
      </c>
      <c r="N226" s="43" t="str">
        <f t="shared" ca="1" si="29"/>
        <v/>
      </c>
      <c r="O226" s="43" t="str">
        <f t="shared" ca="1" si="29"/>
        <v/>
      </c>
      <c r="P226" s="43" t="str">
        <f t="shared" ca="1" si="29"/>
        <v/>
      </c>
      <c r="Q226" s="43" t="str">
        <f t="shared" ca="1" si="29"/>
        <v/>
      </c>
      <c r="R226" s="43" t="str">
        <f t="shared" ca="1" si="29"/>
        <v/>
      </c>
      <c r="S226" s="44" t="str">
        <f t="shared" si="26"/>
        <v/>
      </c>
      <c r="T226" s="43" t="str">
        <f>IF($C226="","",SUMIFS(Overview!$G$18:$G$32,Overview!$D$18:$D$32,"&lt;="&amp;$C226,Overview!$E$18:$E$32,"&gt;="&amp;$C226))</f>
        <v/>
      </c>
      <c r="U226" s="43" t="str">
        <f ca="1">IF(OR($C226="",Overview!$I$33=""),"",IF($C226&gt;Overview!$I$33,"",SUM($S$12:S226)))</f>
        <v/>
      </c>
      <c r="V226" s="43" t="str">
        <f>IF($C226="","",SUM($T$12:T226))</f>
        <v/>
      </c>
      <c r="W226" s="45" t="str">
        <f t="shared" ca="1" si="27"/>
        <v/>
      </c>
    </row>
    <row r="227" spans="3:23" x14ac:dyDescent="0.35">
      <c r="C227" s="42" t="str">
        <f>IF(OR(Overview!$D$33="",Overview!$E$33=""),"",IF(Overview!$D$33+215&gt;Overview!$E$33,"",Overview!$D$33+215))</f>
        <v/>
      </c>
      <c r="D227" s="43" t="str">
        <f t="shared" ca="1" si="29"/>
        <v/>
      </c>
      <c r="E227" s="43" t="str">
        <f t="shared" ca="1" si="29"/>
        <v/>
      </c>
      <c r="F227" s="43" t="str">
        <f t="shared" ca="1" si="29"/>
        <v/>
      </c>
      <c r="G227" s="43" t="str">
        <f t="shared" ca="1" si="29"/>
        <v/>
      </c>
      <c r="H227" s="43" t="str">
        <f t="shared" ca="1" si="29"/>
        <v/>
      </c>
      <c r="I227" s="43" t="str">
        <f t="shared" ca="1" si="29"/>
        <v/>
      </c>
      <c r="J227" s="43" t="str">
        <f t="shared" ca="1" si="29"/>
        <v/>
      </c>
      <c r="K227" s="43" t="str">
        <f t="shared" ca="1" si="29"/>
        <v/>
      </c>
      <c r="L227" s="43" t="str">
        <f t="shared" ca="1" si="29"/>
        <v/>
      </c>
      <c r="M227" s="43" t="str">
        <f t="shared" ca="1" si="29"/>
        <v/>
      </c>
      <c r="N227" s="43" t="str">
        <f t="shared" ca="1" si="29"/>
        <v/>
      </c>
      <c r="O227" s="43" t="str">
        <f t="shared" ca="1" si="29"/>
        <v/>
      </c>
      <c r="P227" s="43" t="str">
        <f t="shared" ca="1" si="29"/>
        <v/>
      </c>
      <c r="Q227" s="43" t="str">
        <f t="shared" ca="1" si="29"/>
        <v/>
      </c>
      <c r="R227" s="43" t="str">
        <f t="shared" ca="1" si="29"/>
        <v/>
      </c>
      <c r="S227" s="44" t="str">
        <f t="shared" si="26"/>
        <v/>
      </c>
      <c r="T227" s="43" t="str">
        <f>IF($C227="","",SUMIFS(Overview!$G$18:$G$32,Overview!$D$18:$D$32,"&lt;="&amp;$C227,Overview!$E$18:$E$32,"&gt;="&amp;$C227))</f>
        <v/>
      </c>
      <c r="U227" s="43" t="str">
        <f ca="1">IF(OR($C227="",Overview!$I$33=""),"",IF($C227&gt;Overview!$I$33,"",SUM($S$12:S227)))</f>
        <v/>
      </c>
      <c r="V227" s="43" t="str">
        <f>IF($C227="","",SUM($T$12:T227))</f>
        <v/>
      </c>
      <c r="W227" s="45" t="str">
        <f t="shared" ca="1" si="27"/>
        <v/>
      </c>
    </row>
    <row r="228" spans="3:23" x14ac:dyDescent="0.35">
      <c r="C228" s="42" t="str">
        <f>IF(OR(Overview!$D$33="",Overview!$E$33=""),"",IF(Overview!$D$33+216&gt;Overview!$E$33,"",Overview!$D$33+216))</f>
        <v/>
      </c>
      <c r="D228" s="43" t="str">
        <f t="shared" ca="1" si="29"/>
        <v/>
      </c>
      <c r="E228" s="43" t="str">
        <f t="shared" ca="1" si="29"/>
        <v/>
      </c>
      <c r="F228" s="43" t="str">
        <f t="shared" ca="1" si="29"/>
        <v/>
      </c>
      <c r="G228" s="43" t="str">
        <f t="shared" ca="1" si="29"/>
        <v/>
      </c>
      <c r="H228" s="43" t="str">
        <f t="shared" ca="1" si="29"/>
        <v/>
      </c>
      <c r="I228" s="43" t="str">
        <f t="shared" ca="1" si="29"/>
        <v/>
      </c>
      <c r="J228" s="43" t="str">
        <f t="shared" ca="1" si="29"/>
        <v/>
      </c>
      <c r="K228" s="43" t="str">
        <f t="shared" ca="1" si="29"/>
        <v/>
      </c>
      <c r="L228" s="43" t="str">
        <f t="shared" ca="1" si="29"/>
        <v/>
      </c>
      <c r="M228" s="43" t="str">
        <f t="shared" ca="1" si="29"/>
        <v/>
      </c>
      <c r="N228" s="43" t="str">
        <f t="shared" ca="1" si="29"/>
        <v/>
      </c>
      <c r="O228" s="43" t="str">
        <f t="shared" ca="1" si="29"/>
        <v/>
      </c>
      <c r="P228" s="43" t="str">
        <f t="shared" ca="1" si="29"/>
        <v/>
      </c>
      <c r="Q228" s="43" t="str">
        <f t="shared" ca="1" si="29"/>
        <v/>
      </c>
      <c r="R228" s="43" t="str">
        <f t="shared" ca="1" si="29"/>
        <v/>
      </c>
      <c r="S228" s="44" t="str">
        <f t="shared" si="26"/>
        <v/>
      </c>
      <c r="T228" s="43" t="str">
        <f>IF($C228="","",SUMIFS(Overview!$G$18:$G$32,Overview!$D$18:$D$32,"&lt;="&amp;$C228,Overview!$E$18:$E$32,"&gt;="&amp;$C228))</f>
        <v/>
      </c>
      <c r="U228" s="43" t="str">
        <f ca="1">IF(OR($C228="",Overview!$I$33=""),"",IF($C228&gt;Overview!$I$33,"",SUM($S$12:S228)))</f>
        <v/>
      </c>
      <c r="V228" s="43" t="str">
        <f>IF($C228="","",SUM($T$12:T228))</f>
        <v/>
      </c>
      <c r="W228" s="45" t="str">
        <f t="shared" ca="1" si="27"/>
        <v/>
      </c>
    </row>
    <row r="229" spans="3:23" x14ac:dyDescent="0.35">
      <c r="C229" s="42" t="str">
        <f>IF(OR(Overview!$D$33="",Overview!$E$33=""),"",IF(Overview!$D$33+217&gt;Overview!$E$33,"",Overview!$D$33+217))</f>
        <v/>
      </c>
      <c r="D229" s="43" t="str">
        <f t="shared" ca="1" si="29"/>
        <v/>
      </c>
      <c r="E229" s="43" t="str">
        <f t="shared" ca="1" si="29"/>
        <v/>
      </c>
      <c r="F229" s="43" t="str">
        <f t="shared" ca="1" si="29"/>
        <v/>
      </c>
      <c r="G229" s="43" t="str">
        <f t="shared" ca="1" si="29"/>
        <v/>
      </c>
      <c r="H229" s="43" t="str">
        <f t="shared" ca="1" si="29"/>
        <v/>
      </c>
      <c r="I229" s="43" t="str">
        <f t="shared" ca="1" si="29"/>
        <v/>
      </c>
      <c r="J229" s="43" t="str">
        <f t="shared" ca="1" si="29"/>
        <v/>
      </c>
      <c r="K229" s="43" t="str">
        <f t="shared" ca="1" si="29"/>
        <v/>
      </c>
      <c r="L229" s="43" t="str">
        <f t="shared" ca="1" si="29"/>
        <v/>
      </c>
      <c r="M229" s="43" t="str">
        <f t="shared" ca="1" si="29"/>
        <v/>
      </c>
      <c r="N229" s="43" t="str">
        <f t="shared" ca="1" si="29"/>
        <v/>
      </c>
      <c r="O229" s="43" t="str">
        <f t="shared" ca="1" si="29"/>
        <v/>
      </c>
      <c r="P229" s="43" t="str">
        <f t="shared" ca="1" si="29"/>
        <v/>
      </c>
      <c r="Q229" s="43" t="str">
        <f t="shared" ca="1" si="29"/>
        <v/>
      </c>
      <c r="R229" s="43" t="str">
        <f t="shared" ca="1" si="29"/>
        <v/>
      </c>
      <c r="S229" s="44" t="str">
        <f t="shared" si="26"/>
        <v/>
      </c>
      <c r="T229" s="43" t="str">
        <f>IF($C229="","",SUMIFS(Overview!$G$18:$G$32,Overview!$D$18:$D$32,"&lt;="&amp;$C229,Overview!$E$18:$E$32,"&gt;="&amp;$C229))</f>
        <v/>
      </c>
      <c r="U229" s="43" t="str">
        <f ca="1">IF(OR($C229="",Overview!$I$33=""),"",IF($C229&gt;Overview!$I$33,"",SUM($S$12:S229)))</f>
        <v/>
      </c>
      <c r="V229" s="43" t="str">
        <f>IF($C229="","",SUM($T$12:T229))</f>
        <v/>
      </c>
      <c r="W229" s="45" t="str">
        <f t="shared" ca="1" si="27"/>
        <v/>
      </c>
    </row>
    <row r="230" spans="3:23" x14ac:dyDescent="0.35">
      <c r="C230" s="42" t="str">
        <f>IF(OR(Overview!$D$33="",Overview!$E$33=""),"",IF(Overview!$D$33+218&gt;Overview!$E$33,"",Overview!$D$33+218))</f>
        <v/>
      </c>
      <c r="D230" s="43" t="str">
        <f t="shared" ca="1" si="29"/>
        <v/>
      </c>
      <c r="E230" s="43" t="str">
        <f t="shared" ca="1" si="29"/>
        <v/>
      </c>
      <c r="F230" s="43" t="str">
        <f t="shared" ca="1" si="29"/>
        <v/>
      </c>
      <c r="G230" s="43" t="str">
        <f t="shared" ca="1" si="29"/>
        <v/>
      </c>
      <c r="H230" s="43" t="str">
        <f t="shared" ca="1" si="29"/>
        <v/>
      </c>
      <c r="I230" s="43" t="str">
        <f t="shared" ca="1" si="29"/>
        <v/>
      </c>
      <c r="J230" s="43" t="str">
        <f t="shared" ca="1" si="29"/>
        <v/>
      </c>
      <c r="K230" s="43" t="str">
        <f t="shared" ca="1" si="29"/>
        <v/>
      </c>
      <c r="L230" s="43" t="str">
        <f t="shared" ca="1" si="29"/>
        <v/>
      </c>
      <c r="M230" s="43" t="str">
        <f t="shared" ca="1" si="29"/>
        <v/>
      </c>
      <c r="N230" s="43" t="str">
        <f t="shared" ca="1" si="29"/>
        <v/>
      </c>
      <c r="O230" s="43" t="str">
        <f t="shared" ca="1" si="29"/>
        <v/>
      </c>
      <c r="P230" s="43" t="str">
        <f t="shared" ca="1" si="29"/>
        <v/>
      </c>
      <c r="Q230" s="43" t="str">
        <f t="shared" ca="1" si="29"/>
        <v/>
      </c>
      <c r="R230" s="43" t="str">
        <f t="shared" ca="1" si="29"/>
        <v/>
      </c>
      <c r="S230" s="44" t="str">
        <f t="shared" si="26"/>
        <v/>
      </c>
      <c r="T230" s="43" t="str">
        <f>IF($C230="","",SUMIFS(Overview!$G$18:$G$32,Overview!$D$18:$D$32,"&lt;="&amp;$C230,Overview!$E$18:$E$32,"&gt;="&amp;$C230))</f>
        <v/>
      </c>
      <c r="U230" s="43" t="str">
        <f ca="1">IF(OR($C230="",Overview!$I$33=""),"",IF($C230&gt;Overview!$I$33,"",SUM($S$12:S230)))</f>
        <v/>
      </c>
      <c r="V230" s="43" t="str">
        <f>IF($C230="","",SUM($T$12:T230))</f>
        <v/>
      </c>
      <c r="W230" s="45" t="str">
        <f t="shared" ca="1" si="27"/>
        <v/>
      </c>
    </row>
    <row r="231" spans="3:23" x14ac:dyDescent="0.35">
      <c r="C231" s="42" t="str">
        <f>IF(OR(Overview!$D$33="",Overview!$E$33=""),"",IF(Overview!$D$33+219&gt;Overview!$E$33,"",Overview!$D$33+219))</f>
        <v/>
      </c>
      <c r="D231" s="43" t="str">
        <f t="shared" ca="1" si="29"/>
        <v/>
      </c>
      <c r="E231" s="43" t="str">
        <f t="shared" ca="1" si="29"/>
        <v/>
      </c>
      <c r="F231" s="43" t="str">
        <f t="shared" ca="1" si="29"/>
        <v/>
      </c>
      <c r="G231" s="43" t="str">
        <f t="shared" ca="1" si="29"/>
        <v/>
      </c>
      <c r="H231" s="43" t="str">
        <f t="shared" ca="1" si="29"/>
        <v/>
      </c>
      <c r="I231" s="43" t="str">
        <f t="shared" ca="1" si="29"/>
        <v/>
      </c>
      <c r="J231" s="43" t="str">
        <f t="shared" ca="1" si="29"/>
        <v/>
      </c>
      <c r="K231" s="43" t="str">
        <f t="shared" ca="1" si="29"/>
        <v/>
      </c>
      <c r="L231" s="43" t="str">
        <f t="shared" ca="1" si="29"/>
        <v/>
      </c>
      <c r="M231" s="43" t="str">
        <f t="shared" ca="1" si="29"/>
        <v/>
      </c>
      <c r="N231" s="43" t="str">
        <f t="shared" ca="1" si="29"/>
        <v/>
      </c>
      <c r="O231" s="43" t="str">
        <f t="shared" ca="1" si="29"/>
        <v/>
      </c>
      <c r="P231" s="43" t="str">
        <f t="shared" ca="1" si="29"/>
        <v/>
      </c>
      <c r="Q231" s="43" t="str">
        <f t="shared" ca="1" si="29"/>
        <v/>
      </c>
      <c r="R231" s="43" t="str">
        <f t="shared" ca="1" si="29"/>
        <v/>
      </c>
      <c r="S231" s="44" t="str">
        <f t="shared" si="26"/>
        <v/>
      </c>
      <c r="T231" s="43" t="str">
        <f>IF($C231="","",SUMIFS(Overview!$G$18:$G$32,Overview!$D$18:$D$32,"&lt;="&amp;$C231,Overview!$E$18:$E$32,"&gt;="&amp;$C231))</f>
        <v/>
      </c>
      <c r="U231" s="43" t="str">
        <f ca="1">IF(OR($C231="",Overview!$I$33=""),"",IF($C231&gt;Overview!$I$33,"",SUM($S$12:S231)))</f>
        <v/>
      </c>
      <c r="V231" s="43" t="str">
        <f>IF($C231="","",SUM($T$12:T231))</f>
        <v/>
      </c>
      <c r="W231" s="45" t="str">
        <f t="shared" ca="1" si="27"/>
        <v/>
      </c>
    </row>
    <row r="232" spans="3:23" x14ac:dyDescent="0.35">
      <c r="C232" s="42" t="str">
        <f>IF(OR(Overview!$D$33="",Overview!$E$33=""),"",IF(Overview!$D$33+220&gt;Overview!$E$33,"",Overview!$D$33+220))</f>
        <v/>
      </c>
      <c r="D232" s="43" t="str">
        <f t="shared" ref="D232:R241" ca="1" si="30">IF(OR($C232="",D$11=""),"",IFERROR(SUMIFS(INDIRECT("'"&amp;D$11&amp;"'!$F$14:$F$10013"),INDIRECT("'"&amp;D$11&amp;"'!$C$14:$C$10013"),$C232),""))</f>
        <v/>
      </c>
      <c r="E232" s="43" t="str">
        <f t="shared" ca="1" si="30"/>
        <v/>
      </c>
      <c r="F232" s="43" t="str">
        <f t="shared" ca="1" si="30"/>
        <v/>
      </c>
      <c r="G232" s="43" t="str">
        <f t="shared" ca="1" si="30"/>
        <v/>
      </c>
      <c r="H232" s="43" t="str">
        <f t="shared" ca="1" si="30"/>
        <v/>
      </c>
      <c r="I232" s="43" t="str">
        <f t="shared" ca="1" si="30"/>
        <v/>
      </c>
      <c r="J232" s="43" t="str">
        <f t="shared" ca="1" si="30"/>
        <v/>
      </c>
      <c r="K232" s="43" t="str">
        <f t="shared" ca="1" si="30"/>
        <v/>
      </c>
      <c r="L232" s="43" t="str">
        <f t="shared" ca="1" si="30"/>
        <v/>
      </c>
      <c r="M232" s="43" t="str">
        <f t="shared" ca="1" si="30"/>
        <v/>
      </c>
      <c r="N232" s="43" t="str">
        <f t="shared" ca="1" si="30"/>
        <v/>
      </c>
      <c r="O232" s="43" t="str">
        <f t="shared" ca="1" si="30"/>
        <v/>
      </c>
      <c r="P232" s="43" t="str">
        <f t="shared" ca="1" si="30"/>
        <v/>
      </c>
      <c r="Q232" s="43" t="str">
        <f t="shared" ca="1" si="30"/>
        <v/>
      </c>
      <c r="R232" s="43" t="str">
        <f t="shared" ca="1" si="30"/>
        <v/>
      </c>
      <c r="S232" s="44" t="str">
        <f t="shared" si="26"/>
        <v/>
      </c>
      <c r="T232" s="43" t="str">
        <f>IF($C232="","",SUMIFS(Overview!$G$18:$G$32,Overview!$D$18:$D$32,"&lt;="&amp;$C232,Overview!$E$18:$E$32,"&gt;="&amp;$C232))</f>
        <v/>
      </c>
      <c r="U232" s="43" t="str">
        <f ca="1">IF(OR($C232="",Overview!$I$33=""),"",IF($C232&gt;Overview!$I$33,"",SUM($S$12:S232)))</f>
        <v/>
      </c>
      <c r="V232" s="43" t="str">
        <f>IF($C232="","",SUM($T$12:T232))</f>
        <v/>
      </c>
      <c r="W232" s="45" t="str">
        <f t="shared" ca="1" si="27"/>
        <v/>
      </c>
    </row>
    <row r="233" spans="3:23" x14ac:dyDescent="0.35">
      <c r="C233" s="42" t="str">
        <f>IF(OR(Overview!$D$33="",Overview!$E$33=""),"",IF(Overview!$D$33+221&gt;Overview!$E$33,"",Overview!$D$33+221))</f>
        <v/>
      </c>
      <c r="D233" s="43" t="str">
        <f t="shared" ca="1" si="30"/>
        <v/>
      </c>
      <c r="E233" s="43" t="str">
        <f t="shared" ca="1" si="30"/>
        <v/>
      </c>
      <c r="F233" s="43" t="str">
        <f t="shared" ca="1" si="30"/>
        <v/>
      </c>
      <c r="G233" s="43" t="str">
        <f t="shared" ca="1" si="30"/>
        <v/>
      </c>
      <c r="H233" s="43" t="str">
        <f t="shared" ca="1" si="30"/>
        <v/>
      </c>
      <c r="I233" s="43" t="str">
        <f t="shared" ca="1" si="30"/>
        <v/>
      </c>
      <c r="J233" s="43" t="str">
        <f t="shared" ca="1" si="30"/>
        <v/>
      </c>
      <c r="K233" s="43" t="str">
        <f t="shared" ca="1" si="30"/>
        <v/>
      </c>
      <c r="L233" s="43" t="str">
        <f t="shared" ca="1" si="30"/>
        <v/>
      </c>
      <c r="M233" s="43" t="str">
        <f t="shared" ca="1" si="30"/>
        <v/>
      </c>
      <c r="N233" s="43" t="str">
        <f t="shared" ca="1" si="30"/>
        <v/>
      </c>
      <c r="O233" s="43" t="str">
        <f t="shared" ca="1" si="30"/>
        <v/>
      </c>
      <c r="P233" s="43" t="str">
        <f t="shared" ca="1" si="30"/>
        <v/>
      </c>
      <c r="Q233" s="43" t="str">
        <f t="shared" ca="1" si="30"/>
        <v/>
      </c>
      <c r="R233" s="43" t="str">
        <f t="shared" ca="1" si="30"/>
        <v/>
      </c>
      <c r="S233" s="44" t="str">
        <f t="shared" si="26"/>
        <v/>
      </c>
      <c r="T233" s="43" t="str">
        <f>IF($C233="","",SUMIFS(Overview!$G$18:$G$32,Overview!$D$18:$D$32,"&lt;="&amp;$C233,Overview!$E$18:$E$32,"&gt;="&amp;$C233))</f>
        <v/>
      </c>
      <c r="U233" s="43" t="str">
        <f ca="1">IF(OR($C233="",Overview!$I$33=""),"",IF($C233&gt;Overview!$I$33,"",SUM($S$12:S233)))</f>
        <v/>
      </c>
      <c r="V233" s="43" t="str">
        <f>IF($C233="","",SUM($T$12:T233))</f>
        <v/>
      </c>
      <c r="W233" s="45" t="str">
        <f t="shared" ca="1" si="27"/>
        <v/>
      </c>
    </row>
    <row r="234" spans="3:23" x14ac:dyDescent="0.35">
      <c r="C234" s="42" t="str">
        <f>IF(OR(Overview!$D$33="",Overview!$E$33=""),"",IF(Overview!$D$33+222&gt;Overview!$E$33,"",Overview!$D$33+222))</f>
        <v/>
      </c>
      <c r="D234" s="43" t="str">
        <f t="shared" ca="1" si="30"/>
        <v/>
      </c>
      <c r="E234" s="43" t="str">
        <f t="shared" ca="1" si="30"/>
        <v/>
      </c>
      <c r="F234" s="43" t="str">
        <f t="shared" ca="1" si="30"/>
        <v/>
      </c>
      <c r="G234" s="43" t="str">
        <f t="shared" ca="1" si="30"/>
        <v/>
      </c>
      <c r="H234" s="43" t="str">
        <f t="shared" ca="1" si="30"/>
        <v/>
      </c>
      <c r="I234" s="43" t="str">
        <f t="shared" ca="1" si="30"/>
        <v/>
      </c>
      <c r="J234" s="43" t="str">
        <f t="shared" ca="1" si="30"/>
        <v/>
      </c>
      <c r="K234" s="43" t="str">
        <f t="shared" ca="1" si="30"/>
        <v/>
      </c>
      <c r="L234" s="43" t="str">
        <f t="shared" ca="1" si="30"/>
        <v/>
      </c>
      <c r="M234" s="43" t="str">
        <f t="shared" ca="1" si="30"/>
        <v/>
      </c>
      <c r="N234" s="43" t="str">
        <f t="shared" ca="1" si="30"/>
        <v/>
      </c>
      <c r="O234" s="43" t="str">
        <f t="shared" ca="1" si="30"/>
        <v/>
      </c>
      <c r="P234" s="43" t="str">
        <f t="shared" ca="1" si="30"/>
        <v/>
      </c>
      <c r="Q234" s="43" t="str">
        <f t="shared" ca="1" si="30"/>
        <v/>
      </c>
      <c r="R234" s="43" t="str">
        <f t="shared" ca="1" si="30"/>
        <v/>
      </c>
      <c r="S234" s="44" t="str">
        <f t="shared" si="26"/>
        <v/>
      </c>
      <c r="T234" s="43" t="str">
        <f>IF($C234="","",SUMIFS(Overview!$G$18:$G$32,Overview!$D$18:$D$32,"&lt;="&amp;$C234,Overview!$E$18:$E$32,"&gt;="&amp;$C234))</f>
        <v/>
      </c>
      <c r="U234" s="43" t="str">
        <f ca="1">IF(OR($C234="",Overview!$I$33=""),"",IF($C234&gt;Overview!$I$33,"",SUM($S$12:S234)))</f>
        <v/>
      </c>
      <c r="V234" s="43" t="str">
        <f>IF($C234="","",SUM($T$12:T234))</f>
        <v/>
      </c>
      <c r="W234" s="45" t="str">
        <f t="shared" ca="1" si="27"/>
        <v/>
      </c>
    </row>
    <row r="235" spans="3:23" x14ac:dyDescent="0.35">
      <c r="C235" s="42" t="str">
        <f>IF(OR(Overview!$D$33="",Overview!$E$33=""),"",IF(Overview!$D$33+223&gt;Overview!$E$33,"",Overview!$D$33+223))</f>
        <v/>
      </c>
      <c r="D235" s="43" t="str">
        <f t="shared" ca="1" si="30"/>
        <v/>
      </c>
      <c r="E235" s="43" t="str">
        <f t="shared" ca="1" si="30"/>
        <v/>
      </c>
      <c r="F235" s="43" t="str">
        <f t="shared" ca="1" si="30"/>
        <v/>
      </c>
      <c r="G235" s="43" t="str">
        <f t="shared" ca="1" si="30"/>
        <v/>
      </c>
      <c r="H235" s="43" t="str">
        <f t="shared" ca="1" si="30"/>
        <v/>
      </c>
      <c r="I235" s="43" t="str">
        <f t="shared" ca="1" si="30"/>
        <v/>
      </c>
      <c r="J235" s="43" t="str">
        <f t="shared" ca="1" si="30"/>
        <v/>
      </c>
      <c r="K235" s="43" t="str">
        <f t="shared" ca="1" si="30"/>
        <v/>
      </c>
      <c r="L235" s="43" t="str">
        <f t="shared" ca="1" si="30"/>
        <v/>
      </c>
      <c r="M235" s="43" t="str">
        <f t="shared" ca="1" si="30"/>
        <v/>
      </c>
      <c r="N235" s="43" t="str">
        <f t="shared" ca="1" si="30"/>
        <v/>
      </c>
      <c r="O235" s="43" t="str">
        <f t="shared" ca="1" si="30"/>
        <v/>
      </c>
      <c r="P235" s="43" t="str">
        <f t="shared" ca="1" si="30"/>
        <v/>
      </c>
      <c r="Q235" s="43" t="str">
        <f t="shared" ca="1" si="30"/>
        <v/>
      </c>
      <c r="R235" s="43" t="str">
        <f t="shared" ca="1" si="30"/>
        <v/>
      </c>
      <c r="S235" s="44" t="str">
        <f t="shared" si="26"/>
        <v/>
      </c>
      <c r="T235" s="43" t="str">
        <f>IF($C235="","",SUMIFS(Overview!$G$18:$G$32,Overview!$D$18:$D$32,"&lt;="&amp;$C235,Overview!$E$18:$E$32,"&gt;="&amp;$C235))</f>
        <v/>
      </c>
      <c r="U235" s="43" t="str">
        <f ca="1">IF(OR($C235="",Overview!$I$33=""),"",IF($C235&gt;Overview!$I$33,"",SUM($S$12:S235)))</f>
        <v/>
      </c>
      <c r="V235" s="43" t="str">
        <f>IF($C235="","",SUM($T$12:T235))</f>
        <v/>
      </c>
      <c r="W235" s="45" t="str">
        <f t="shared" ca="1" si="27"/>
        <v/>
      </c>
    </row>
    <row r="236" spans="3:23" x14ac:dyDescent="0.35">
      <c r="C236" s="42" t="str">
        <f>IF(OR(Overview!$D$33="",Overview!$E$33=""),"",IF(Overview!$D$33+224&gt;Overview!$E$33,"",Overview!$D$33+224))</f>
        <v/>
      </c>
      <c r="D236" s="43" t="str">
        <f t="shared" ca="1" si="30"/>
        <v/>
      </c>
      <c r="E236" s="43" t="str">
        <f t="shared" ca="1" si="30"/>
        <v/>
      </c>
      <c r="F236" s="43" t="str">
        <f t="shared" ca="1" si="30"/>
        <v/>
      </c>
      <c r="G236" s="43" t="str">
        <f t="shared" ca="1" si="30"/>
        <v/>
      </c>
      <c r="H236" s="43" t="str">
        <f t="shared" ca="1" si="30"/>
        <v/>
      </c>
      <c r="I236" s="43" t="str">
        <f t="shared" ca="1" si="30"/>
        <v/>
      </c>
      <c r="J236" s="43" t="str">
        <f t="shared" ca="1" si="30"/>
        <v/>
      </c>
      <c r="K236" s="43" t="str">
        <f t="shared" ca="1" si="30"/>
        <v/>
      </c>
      <c r="L236" s="43" t="str">
        <f t="shared" ca="1" si="30"/>
        <v/>
      </c>
      <c r="M236" s="43" t="str">
        <f t="shared" ca="1" si="30"/>
        <v/>
      </c>
      <c r="N236" s="43" t="str">
        <f t="shared" ca="1" si="30"/>
        <v/>
      </c>
      <c r="O236" s="43" t="str">
        <f t="shared" ca="1" si="30"/>
        <v/>
      </c>
      <c r="P236" s="43" t="str">
        <f t="shared" ca="1" si="30"/>
        <v/>
      </c>
      <c r="Q236" s="43" t="str">
        <f t="shared" ca="1" si="30"/>
        <v/>
      </c>
      <c r="R236" s="43" t="str">
        <f t="shared" ca="1" si="30"/>
        <v/>
      </c>
      <c r="S236" s="44" t="str">
        <f t="shared" si="26"/>
        <v/>
      </c>
      <c r="T236" s="43" t="str">
        <f>IF($C236="","",SUMIFS(Overview!$G$18:$G$32,Overview!$D$18:$D$32,"&lt;="&amp;$C236,Overview!$E$18:$E$32,"&gt;="&amp;$C236))</f>
        <v/>
      </c>
      <c r="U236" s="43" t="str">
        <f ca="1">IF(OR($C236="",Overview!$I$33=""),"",IF($C236&gt;Overview!$I$33,"",SUM($S$12:S236)))</f>
        <v/>
      </c>
      <c r="V236" s="43" t="str">
        <f>IF($C236="","",SUM($T$12:T236))</f>
        <v/>
      </c>
      <c r="W236" s="45" t="str">
        <f t="shared" ca="1" si="27"/>
        <v/>
      </c>
    </row>
    <row r="237" spans="3:23" x14ac:dyDescent="0.35">
      <c r="C237" s="42" t="str">
        <f>IF(OR(Overview!$D$33="",Overview!$E$33=""),"",IF(Overview!$D$33+225&gt;Overview!$E$33,"",Overview!$D$33+225))</f>
        <v/>
      </c>
      <c r="D237" s="43" t="str">
        <f t="shared" ca="1" si="30"/>
        <v/>
      </c>
      <c r="E237" s="43" t="str">
        <f t="shared" ca="1" si="30"/>
        <v/>
      </c>
      <c r="F237" s="43" t="str">
        <f t="shared" ca="1" si="30"/>
        <v/>
      </c>
      <c r="G237" s="43" t="str">
        <f t="shared" ca="1" si="30"/>
        <v/>
      </c>
      <c r="H237" s="43" t="str">
        <f t="shared" ca="1" si="30"/>
        <v/>
      </c>
      <c r="I237" s="43" t="str">
        <f t="shared" ca="1" si="30"/>
        <v/>
      </c>
      <c r="J237" s="43" t="str">
        <f t="shared" ca="1" si="30"/>
        <v/>
      </c>
      <c r="K237" s="43" t="str">
        <f t="shared" ca="1" si="30"/>
        <v/>
      </c>
      <c r="L237" s="43" t="str">
        <f t="shared" ca="1" si="30"/>
        <v/>
      </c>
      <c r="M237" s="43" t="str">
        <f t="shared" ca="1" si="30"/>
        <v/>
      </c>
      <c r="N237" s="43" t="str">
        <f t="shared" ca="1" si="30"/>
        <v/>
      </c>
      <c r="O237" s="43" t="str">
        <f t="shared" ca="1" si="30"/>
        <v/>
      </c>
      <c r="P237" s="43" t="str">
        <f t="shared" ca="1" si="30"/>
        <v/>
      </c>
      <c r="Q237" s="43" t="str">
        <f t="shared" ca="1" si="30"/>
        <v/>
      </c>
      <c r="R237" s="43" t="str">
        <f t="shared" ca="1" si="30"/>
        <v/>
      </c>
      <c r="S237" s="44" t="str">
        <f t="shared" si="26"/>
        <v/>
      </c>
      <c r="T237" s="43" t="str">
        <f>IF($C237="","",SUMIFS(Overview!$G$18:$G$32,Overview!$D$18:$D$32,"&lt;="&amp;$C237,Overview!$E$18:$E$32,"&gt;="&amp;$C237))</f>
        <v/>
      </c>
      <c r="U237" s="43" t="str">
        <f ca="1">IF(OR($C237="",Overview!$I$33=""),"",IF($C237&gt;Overview!$I$33,"",SUM($S$12:S237)))</f>
        <v/>
      </c>
      <c r="V237" s="43" t="str">
        <f>IF($C237="","",SUM($T$12:T237))</f>
        <v/>
      </c>
      <c r="W237" s="45" t="str">
        <f t="shared" ca="1" si="27"/>
        <v/>
      </c>
    </row>
    <row r="238" spans="3:23" x14ac:dyDescent="0.35">
      <c r="C238" s="42" t="str">
        <f>IF(OR(Overview!$D$33="",Overview!$E$33=""),"",IF(Overview!$D$33+226&gt;Overview!$E$33,"",Overview!$D$33+226))</f>
        <v/>
      </c>
      <c r="D238" s="43" t="str">
        <f t="shared" ca="1" si="30"/>
        <v/>
      </c>
      <c r="E238" s="43" t="str">
        <f t="shared" ca="1" si="30"/>
        <v/>
      </c>
      <c r="F238" s="43" t="str">
        <f t="shared" ca="1" si="30"/>
        <v/>
      </c>
      <c r="G238" s="43" t="str">
        <f t="shared" ca="1" si="30"/>
        <v/>
      </c>
      <c r="H238" s="43" t="str">
        <f t="shared" ca="1" si="30"/>
        <v/>
      </c>
      <c r="I238" s="43" t="str">
        <f t="shared" ca="1" si="30"/>
        <v/>
      </c>
      <c r="J238" s="43" t="str">
        <f t="shared" ca="1" si="30"/>
        <v/>
      </c>
      <c r="K238" s="43" t="str">
        <f t="shared" ca="1" si="30"/>
        <v/>
      </c>
      <c r="L238" s="43" t="str">
        <f t="shared" ca="1" si="30"/>
        <v/>
      </c>
      <c r="M238" s="43" t="str">
        <f t="shared" ca="1" si="30"/>
        <v/>
      </c>
      <c r="N238" s="43" t="str">
        <f t="shared" ca="1" si="30"/>
        <v/>
      </c>
      <c r="O238" s="43" t="str">
        <f t="shared" ca="1" si="30"/>
        <v/>
      </c>
      <c r="P238" s="43" t="str">
        <f t="shared" ca="1" si="30"/>
        <v/>
      </c>
      <c r="Q238" s="43" t="str">
        <f t="shared" ca="1" si="30"/>
        <v/>
      </c>
      <c r="R238" s="43" t="str">
        <f t="shared" ca="1" si="30"/>
        <v/>
      </c>
      <c r="S238" s="44" t="str">
        <f t="shared" si="26"/>
        <v/>
      </c>
      <c r="T238" s="43" t="str">
        <f>IF($C238="","",SUMIFS(Overview!$G$18:$G$32,Overview!$D$18:$D$32,"&lt;="&amp;$C238,Overview!$E$18:$E$32,"&gt;="&amp;$C238))</f>
        <v/>
      </c>
      <c r="U238" s="43" t="str">
        <f ca="1">IF(OR($C238="",Overview!$I$33=""),"",IF($C238&gt;Overview!$I$33,"",SUM($S$12:S238)))</f>
        <v/>
      </c>
      <c r="V238" s="43" t="str">
        <f>IF($C238="","",SUM($T$12:T238))</f>
        <v/>
      </c>
      <c r="W238" s="45" t="str">
        <f t="shared" ca="1" si="27"/>
        <v/>
      </c>
    </row>
    <row r="239" spans="3:23" x14ac:dyDescent="0.35">
      <c r="C239" s="42" t="str">
        <f>IF(OR(Overview!$D$33="",Overview!$E$33=""),"",IF(Overview!$D$33+227&gt;Overview!$E$33,"",Overview!$D$33+227))</f>
        <v/>
      </c>
      <c r="D239" s="43" t="str">
        <f t="shared" ca="1" si="30"/>
        <v/>
      </c>
      <c r="E239" s="43" t="str">
        <f t="shared" ca="1" si="30"/>
        <v/>
      </c>
      <c r="F239" s="43" t="str">
        <f t="shared" ca="1" si="30"/>
        <v/>
      </c>
      <c r="G239" s="43" t="str">
        <f t="shared" ca="1" si="30"/>
        <v/>
      </c>
      <c r="H239" s="43" t="str">
        <f t="shared" ca="1" si="30"/>
        <v/>
      </c>
      <c r="I239" s="43" t="str">
        <f t="shared" ca="1" si="30"/>
        <v/>
      </c>
      <c r="J239" s="43" t="str">
        <f t="shared" ca="1" si="30"/>
        <v/>
      </c>
      <c r="K239" s="43" t="str">
        <f t="shared" ca="1" si="30"/>
        <v/>
      </c>
      <c r="L239" s="43" t="str">
        <f t="shared" ca="1" si="30"/>
        <v/>
      </c>
      <c r="M239" s="43" t="str">
        <f t="shared" ca="1" si="30"/>
        <v/>
      </c>
      <c r="N239" s="43" t="str">
        <f t="shared" ca="1" si="30"/>
        <v/>
      </c>
      <c r="O239" s="43" t="str">
        <f t="shared" ca="1" si="30"/>
        <v/>
      </c>
      <c r="P239" s="43" t="str">
        <f t="shared" ca="1" si="30"/>
        <v/>
      </c>
      <c r="Q239" s="43" t="str">
        <f t="shared" ca="1" si="30"/>
        <v/>
      </c>
      <c r="R239" s="43" t="str">
        <f t="shared" ca="1" si="30"/>
        <v/>
      </c>
      <c r="S239" s="44" t="str">
        <f t="shared" si="26"/>
        <v/>
      </c>
      <c r="T239" s="43" t="str">
        <f>IF($C239="","",SUMIFS(Overview!$G$18:$G$32,Overview!$D$18:$D$32,"&lt;="&amp;$C239,Overview!$E$18:$E$32,"&gt;="&amp;$C239))</f>
        <v/>
      </c>
      <c r="U239" s="43" t="str">
        <f ca="1">IF(OR($C239="",Overview!$I$33=""),"",IF($C239&gt;Overview!$I$33,"",SUM($S$12:S239)))</f>
        <v/>
      </c>
      <c r="V239" s="43" t="str">
        <f>IF($C239="","",SUM($T$12:T239))</f>
        <v/>
      </c>
      <c r="W239" s="45" t="str">
        <f t="shared" ca="1" si="27"/>
        <v/>
      </c>
    </row>
    <row r="240" spans="3:23" x14ac:dyDescent="0.35">
      <c r="C240" s="42" t="str">
        <f>IF(OR(Overview!$D$33="",Overview!$E$33=""),"",IF(Overview!$D$33+228&gt;Overview!$E$33,"",Overview!$D$33+228))</f>
        <v/>
      </c>
      <c r="D240" s="43" t="str">
        <f t="shared" ca="1" si="30"/>
        <v/>
      </c>
      <c r="E240" s="43" t="str">
        <f t="shared" ca="1" si="30"/>
        <v/>
      </c>
      <c r="F240" s="43" t="str">
        <f t="shared" ca="1" si="30"/>
        <v/>
      </c>
      <c r="G240" s="43" t="str">
        <f t="shared" ca="1" si="30"/>
        <v/>
      </c>
      <c r="H240" s="43" t="str">
        <f t="shared" ca="1" si="30"/>
        <v/>
      </c>
      <c r="I240" s="43" t="str">
        <f t="shared" ca="1" si="30"/>
        <v/>
      </c>
      <c r="J240" s="43" t="str">
        <f t="shared" ca="1" si="30"/>
        <v/>
      </c>
      <c r="K240" s="43" t="str">
        <f t="shared" ca="1" si="30"/>
        <v/>
      </c>
      <c r="L240" s="43" t="str">
        <f t="shared" ca="1" si="30"/>
        <v/>
      </c>
      <c r="M240" s="43" t="str">
        <f t="shared" ca="1" si="30"/>
        <v/>
      </c>
      <c r="N240" s="43" t="str">
        <f t="shared" ca="1" si="30"/>
        <v/>
      </c>
      <c r="O240" s="43" t="str">
        <f t="shared" ca="1" si="30"/>
        <v/>
      </c>
      <c r="P240" s="43" t="str">
        <f t="shared" ca="1" si="30"/>
        <v/>
      </c>
      <c r="Q240" s="43" t="str">
        <f t="shared" ca="1" si="30"/>
        <v/>
      </c>
      <c r="R240" s="43" t="str">
        <f t="shared" ca="1" si="30"/>
        <v/>
      </c>
      <c r="S240" s="44" t="str">
        <f t="shared" si="26"/>
        <v/>
      </c>
      <c r="T240" s="43" t="str">
        <f>IF($C240="","",SUMIFS(Overview!$G$18:$G$32,Overview!$D$18:$D$32,"&lt;="&amp;$C240,Overview!$E$18:$E$32,"&gt;="&amp;$C240))</f>
        <v/>
      </c>
      <c r="U240" s="43" t="str">
        <f ca="1">IF(OR($C240="",Overview!$I$33=""),"",IF($C240&gt;Overview!$I$33,"",SUM($S$12:S240)))</f>
        <v/>
      </c>
      <c r="V240" s="43" t="str">
        <f>IF($C240="","",SUM($T$12:T240))</f>
        <v/>
      </c>
      <c r="W240" s="45" t="str">
        <f t="shared" ca="1" si="27"/>
        <v/>
      </c>
    </row>
    <row r="241" spans="3:23" x14ac:dyDescent="0.35">
      <c r="C241" s="42" t="str">
        <f>IF(OR(Overview!$D$33="",Overview!$E$33=""),"",IF(Overview!$D$33+229&gt;Overview!$E$33,"",Overview!$D$33+229))</f>
        <v/>
      </c>
      <c r="D241" s="43" t="str">
        <f t="shared" ca="1" si="30"/>
        <v/>
      </c>
      <c r="E241" s="43" t="str">
        <f t="shared" ca="1" si="30"/>
        <v/>
      </c>
      <c r="F241" s="43" t="str">
        <f t="shared" ca="1" si="30"/>
        <v/>
      </c>
      <c r="G241" s="43" t="str">
        <f t="shared" ca="1" si="30"/>
        <v/>
      </c>
      <c r="H241" s="43" t="str">
        <f t="shared" ca="1" si="30"/>
        <v/>
      </c>
      <c r="I241" s="43" t="str">
        <f t="shared" ca="1" si="30"/>
        <v/>
      </c>
      <c r="J241" s="43" t="str">
        <f t="shared" ca="1" si="30"/>
        <v/>
      </c>
      <c r="K241" s="43" t="str">
        <f t="shared" ca="1" si="30"/>
        <v/>
      </c>
      <c r="L241" s="43" t="str">
        <f t="shared" ca="1" si="30"/>
        <v/>
      </c>
      <c r="M241" s="43" t="str">
        <f t="shared" ca="1" si="30"/>
        <v/>
      </c>
      <c r="N241" s="43" t="str">
        <f t="shared" ca="1" si="30"/>
        <v/>
      </c>
      <c r="O241" s="43" t="str">
        <f t="shared" ca="1" si="30"/>
        <v/>
      </c>
      <c r="P241" s="43" t="str">
        <f t="shared" ca="1" si="30"/>
        <v/>
      </c>
      <c r="Q241" s="43" t="str">
        <f t="shared" ca="1" si="30"/>
        <v/>
      </c>
      <c r="R241" s="43" t="str">
        <f t="shared" ca="1" si="30"/>
        <v/>
      </c>
      <c r="S241" s="44" t="str">
        <f t="shared" si="26"/>
        <v/>
      </c>
      <c r="T241" s="43" t="str">
        <f>IF($C241="","",SUMIFS(Overview!$G$18:$G$32,Overview!$D$18:$D$32,"&lt;="&amp;$C241,Overview!$E$18:$E$32,"&gt;="&amp;$C241))</f>
        <v/>
      </c>
      <c r="U241" s="43" t="str">
        <f ca="1">IF(OR($C241="",Overview!$I$33=""),"",IF($C241&gt;Overview!$I$33,"",SUM($S$12:S241)))</f>
        <v/>
      </c>
      <c r="V241" s="43" t="str">
        <f>IF($C241="","",SUM($T$12:T241))</f>
        <v/>
      </c>
      <c r="W241" s="45" t="str">
        <f t="shared" ca="1" si="27"/>
        <v/>
      </c>
    </row>
    <row r="242" spans="3:23" x14ac:dyDescent="0.35">
      <c r="C242" s="42" t="str">
        <f>IF(OR(Overview!$D$33="",Overview!$E$33=""),"",IF(Overview!$D$33+230&gt;Overview!$E$33,"",Overview!$D$33+230))</f>
        <v/>
      </c>
      <c r="D242" s="43" t="str">
        <f t="shared" ref="D242:R251" ca="1" si="31">IF(OR($C242="",D$11=""),"",IFERROR(SUMIFS(INDIRECT("'"&amp;D$11&amp;"'!$F$14:$F$10013"),INDIRECT("'"&amp;D$11&amp;"'!$C$14:$C$10013"),$C242),""))</f>
        <v/>
      </c>
      <c r="E242" s="43" t="str">
        <f t="shared" ca="1" si="31"/>
        <v/>
      </c>
      <c r="F242" s="43" t="str">
        <f t="shared" ca="1" si="31"/>
        <v/>
      </c>
      <c r="G242" s="43" t="str">
        <f t="shared" ca="1" si="31"/>
        <v/>
      </c>
      <c r="H242" s="43" t="str">
        <f t="shared" ca="1" si="31"/>
        <v/>
      </c>
      <c r="I242" s="43" t="str">
        <f t="shared" ca="1" si="31"/>
        <v/>
      </c>
      <c r="J242" s="43" t="str">
        <f t="shared" ca="1" si="31"/>
        <v/>
      </c>
      <c r="K242" s="43" t="str">
        <f t="shared" ca="1" si="31"/>
        <v/>
      </c>
      <c r="L242" s="43" t="str">
        <f t="shared" ca="1" si="31"/>
        <v/>
      </c>
      <c r="M242" s="43" t="str">
        <f t="shared" ca="1" si="31"/>
        <v/>
      </c>
      <c r="N242" s="43" t="str">
        <f t="shared" ca="1" si="31"/>
        <v/>
      </c>
      <c r="O242" s="43" t="str">
        <f t="shared" ca="1" si="31"/>
        <v/>
      </c>
      <c r="P242" s="43" t="str">
        <f t="shared" ca="1" si="31"/>
        <v/>
      </c>
      <c r="Q242" s="43" t="str">
        <f t="shared" ca="1" si="31"/>
        <v/>
      </c>
      <c r="R242" s="43" t="str">
        <f t="shared" ca="1" si="31"/>
        <v/>
      </c>
      <c r="S242" s="44" t="str">
        <f t="shared" si="26"/>
        <v/>
      </c>
      <c r="T242" s="43" t="str">
        <f>IF($C242="","",SUMIFS(Overview!$G$18:$G$32,Overview!$D$18:$D$32,"&lt;="&amp;$C242,Overview!$E$18:$E$32,"&gt;="&amp;$C242))</f>
        <v/>
      </c>
      <c r="U242" s="43" t="str">
        <f ca="1">IF(OR($C242="",Overview!$I$33=""),"",IF($C242&gt;Overview!$I$33,"",SUM($S$12:S242)))</f>
        <v/>
      </c>
      <c r="V242" s="43" t="str">
        <f>IF($C242="","",SUM($T$12:T242))</f>
        <v/>
      </c>
      <c r="W242" s="45" t="str">
        <f t="shared" ca="1" si="27"/>
        <v/>
      </c>
    </row>
    <row r="243" spans="3:23" x14ac:dyDescent="0.35">
      <c r="C243" s="42" t="str">
        <f>IF(OR(Overview!$D$33="",Overview!$E$33=""),"",IF(Overview!$D$33+231&gt;Overview!$E$33,"",Overview!$D$33+231))</f>
        <v/>
      </c>
      <c r="D243" s="43" t="str">
        <f t="shared" ca="1" si="31"/>
        <v/>
      </c>
      <c r="E243" s="43" t="str">
        <f t="shared" ca="1" si="31"/>
        <v/>
      </c>
      <c r="F243" s="43" t="str">
        <f t="shared" ca="1" si="31"/>
        <v/>
      </c>
      <c r="G243" s="43" t="str">
        <f t="shared" ca="1" si="31"/>
        <v/>
      </c>
      <c r="H243" s="43" t="str">
        <f t="shared" ca="1" si="31"/>
        <v/>
      </c>
      <c r="I243" s="43" t="str">
        <f t="shared" ca="1" si="31"/>
        <v/>
      </c>
      <c r="J243" s="43" t="str">
        <f t="shared" ca="1" si="31"/>
        <v/>
      </c>
      <c r="K243" s="43" t="str">
        <f t="shared" ca="1" si="31"/>
        <v/>
      </c>
      <c r="L243" s="43" t="str">
        <f t="shared" ca="1" si="31"/>
        <v/>
      </c>
      <c r="M243" s="43" t="str">
        <f t="shared" ca="1" si="31"/>
        <v/>
      </c>
      <c r="N243" s="43" t="str">
        <f t="shared" ca="1" si="31"/>
        <v/>
      </c>
      <c r="O243" s="43" t="str">
        <f t="shared" ca="1" si="31"/>
        <v/>
      </c>
      <c r="P243" s="43" t="str">
        <f t="shared" ca="1" si="31"/>
        <v/>
      </c>
      <c r="Q243" s="43" t="str">
        <f t="shared" ca="1" si="31"/>
        <v/>
      </c>
      <c r="R243" s="43" t="str">
        <f t="shared" ca="1" si="31"/>
        <v/>
      </c>
      <c r="S243" s="44" t="str">
        <f t="shared" si="26"/>
        <v/>
      </c>
      <c r="T243" s="43" t="str">
        <f>IF($C243="","",SUMIFS(Overview!$G$18:$G$32,Overview!$D$18:$D$32,"&lt;="&amp;$C243,Overview!$E$18:$E$32,"&gt;="&amp;$C243))</f>
        <v/>
      </c>
      <c r="U243" s="43" t="str">
        <f ca="1">IF(OR($C243="",Overview!$I$33=""),"",IF($C243&gt;Overview!$I$33,"",SUM($S$12:S243)))</f>
        <v/>
      </c>
      <c r="V243" s="43" t="str">
        <f>IF($C243="","",SUM($T$12:T243))</f>
        <v/>
      </c>
      <c r="W243" s="45" t="str">
        <f t="shared" ca="1" si="27"/>
        <v/>
      </c>
    </row>
    <row r="244" spans="3:23" x14ac:dyDescent="0.35">
      <c r="C244" s="42" t="str">
        <f>IF(OR(Overview!$D$33="",Overview!$E$33=""),"",IF(Overview!$D$33+232&gt;Overview!$E$33,"",Overview!$D$33+232))</f>
        <v/>
      </c>
      <c r="D244" s="43" t="str">
        <f t="shared" ca="1" si="31"/>
        <v/>
      </c>
      <c r="E244" s="43" t="str">
        <f t="shared" ca="1" si="31"/>
        <v/>
      </c>
      <c r="F244" s="43" t="str">
        <f t="shared" ca="1" si="31"/>
        <v/>
      </c>
      <c r="G244" s="43" t="str">
        <f t="shared" ca="1" si="31"/>
        <v/>
      </c>
      <c r="H244" s="43" t="str">
        <f t="shared" ca="1" si="31"/>
        <v/>
      </c>
      <c r="I244" s="43" t="str">
        <f t="shared" ca="1" si="31"/>
        <v/>
      </c>
      <c r="J244" s="43" t="str">
        <f t="shared" ca="1" si="31"/>
        <v/>
      </c>
      <c r="K244" s="43" t="str">
        <f t="shared" ca="1" si="31"/>
        <v/>
      </c>
      <c r="L244" s="43" t="str">
        <f t="shared" ca="1" si="31"/>
        <v/>
      </c>
      <c r="M244" s="43" t="str">
        <f t="shared" ca="1" si="31"/>
        <v/>
      </c>
      <c r="N244" s="43" t="str">
        <f t="shared" ca="1" si="31"/>
        <v/>
      </c>
      <c r="O244" s="43" t="str">
        <f t="shared" ca="1" si="31"/>
        <v/>
      </c>
      <c r="P244" s="43" t="str">
        <f t="shared" ca="1" si="31"/>
        <v/>
      </c>
      <c r="Q244" s="43" t="str">
        <f t="shared" ca="1" si="31"/>
        <v/>
      </c>
      <c r="R244" s="43" t="str">
        <f t="shared" ca="1" si="31"/>
        <v/>
      </c>
      <c r="S244" s="44" t="str">
        <f t="shared" si="26"/>
        <v/>
      </c>
      <c r="T244" s="43" t="str">
        <f>IF($C244="","",SUMIFS(Overview!$G$18:$G$32,Overview!$D$18:$D$32,"&lt;="&amp;$C244,Overview!$E$18:$E$32,"&gt;="&amp;$C244))</f>
        <v/>
      </c>
      <c r="U244" s="43" t="str">
        <f ca="1">IF(OR($C244="",Overview!$I$33=""),"",IF($C244&gt;Overview!$I$33,"",SUM($S$12:S244)))</f>
        <v/>
      </c>
      <c r="V244" s="43" t="str">
        <f>IF($C244="","",SUM($T$12:T244))</f>
        <v/>
      </c>
      <c r="W244" s="45" t="str">
        <f t="shared" ca="1" si="27"/>
        <v/>
      </c>
    </row>
    <row r="245" spans="3:23" x14ac:dyDescent="0.35">
      <c r="C245" s="42" t="str">
        <f>IF(OR(Overview!$D$33="",Overview!$E$33=""),"",IF(Overview!$D$33+233&gt;Overview!$E$33,"",Overview!$D$33+233))</f>
        <v/>
      </c>
      <c r="D245" s="43" t="str">
        <f t="shared" ca="1" si="31"/>
        <v/>
      </c>
      <c r="E245" s="43" t="str">
        <f t="shared" ca="1" si="31"/>
        <v/>
      </c>
      <c r="F245" s="43" t="str">
        <f t="shared" ca="1" si="31"/>
        <v/>
      </c>
      <c r="G245" s="43" t="str">
        <f t="shared" ca="1" si="31"/>
        <v/>
      </c>
      <c r="H245" s="43" t="str">
        <f t="shared" ca="1" si="31"/>
        <v/>
      </c>
      <c r="I245" s="43" t="str">
        <f t="shared" ca="1" si="31"/>
        <v/>
      </c>
      <c r="J245" s="43" t="str">
        <f t="shared" ca="1" si="31"/>
        <v/>
      </c>
      <c r="K245" s="43" t="str">
        <f t="shared" ca="1" si="31"/>
        <v/>
      </c>
      <c r="L245" s="43" t="str">
        <f t="shared" ca="1" si="31"/>
        <v/>
      </c>
      <c r="M245" s="43" t="str">
        <f t="shared" ca="1" si="31"/>
        <v/>
      </c>
      <c r="N245" s="43" t="str">
        <f t="shared" ca="1" si="31"/>
        <v/>
      </c>
      <c r="O245" s="43" t="str">
        <f t="shared" ca="1" si="31"/>
        <v/>
      </c>
      <c r="P245" s="43" t="str">
        <f t="shared" ca="1" si="31"/>
        <v/>
      </c>
      <c r="Q245" s="43" t="str">
        <f t="shared" ca="1" si="31"/>
        <v/>
      </c>
      <c r="R245" s="43" t="str">
        <f t="shared" ca="1" si="31"/>
        <v/>
      </c>
      <c r="S245" s="44" t="str">
        <f t="shared" si="26"/>
        <v/>
      </c>
      <c r="T245" s="43" t="str">
        <f>IF($C245="","",SUMIFS(Overview!$G$18:$G$32,Overview!$D$18:$D$32,"&lt;="&amp;$C245,Overview!$E$18:$E$32,"&gt;="&amp;$C245))</f>
        <v/>
      </c>
      <c r="U245" s="43" t="str">
        <f ca="1">IF(OR($C245="",Overview!$I$33=""),"",IF($C245&gt;Overview!$I$33,"",SUM($S$12:S245)))</f>
        <v/>
      </c>
      <c r="V245" s="43" t="str">
        <f>IF($C245="","",SUM($T$12:T245))</f>
        <v/>
      </c>
      <c r="W245" s="45" t="str">
        <f t="shared" ca="1" si="27"/>
        <v/>
      </c>
    </row>
    <row r="246" spans="3:23" x14ac:dyDescent="0.35">
      <c r="C246" s="42" t="str">
        <f>IF(OR(Overview!$D$33="",Overview!$E$33=""),"",IF(Overview!$D$33+234&gt;Overview!$E$33,"",Overview!$D$33+234))</f>
        <v/>
      </c>
      <c r="D246" s="43" t="str">
        <f t="shared" ca="1" si="31"/>
        <v/>
      </c>
      <c r="E246" s="43" t="str">
        <f t="shared" ca="1" si="31"/>
        <v/>
      </c>
      <c r="F246" s="43" t="str">
        <f t="shared" ca="1" si="31"/>
        <v/>
      </c>
      <c r="G246" s="43" t="str">
        <f t="shared" ca="1" si="31"/>
        <v/>
      </c>
      <c r="H246" s="43" t="str">
        <f t="shared" ca="1" si="31"/>
        <v/>
      </c>
      <c r="I246" s="43" t="str">
        <f t="shared" ca="1" si="31"/>
        <v/>
      </c>
      <c r="J246" s="43" t="str">
        <f t="shared" ca="1" si="31"/>
        <v/>
      </c>
      <c r="K246" s="43" t="str">
        <f t="shared" ca="1" si="31"/>
        <v/>
      </c>
      <c r="L246" s="43" t="str">
        <f t="shared" ca="1" si="31"/>
        <v/>
      </c>
      <c r="M246" s="43" t="str">
        <f t="shared" ca="1" si="31"/>
        <v/>
      </c>
      <c r="N246" s="43" t="str">
        <f t="shared" ca="1" si="31"/>
        <v/>
      </c>
      <c r="O246" s="43" t="str">
        <f t="shared" ca="1" si="31"/>
        <v/>
      </c>
      <c r="P246" s="43" t="str">
        <f t="shared" ca="1" si="31"/>
        <v/>
      </c>
      <c r="Q246" s="43" t="str">
        <f t="shared" ca="1" si="31"/>
        <v/>
      </c>
      <c r="R246" s="43" t="str">
        <f t="shared" ca="1" si="31"/>
        <v/>
      </c>
      <c r="S246" s="44" t="str">
        <f t="shared" si="26"/>
        <v/>
      </c>
      <c r="T246" s="43" t="str">
        <f>IF($C246="","",SUMIFS(Overview!$G$18:$G$32,Overview!$D$18:$D$32,"&lt;="&amp;$C246,Overview!$E$18:$E$32,"&gt;="&amp;$C246))</f>
        <v/>
      </c>
      <c r="U246" s="43" t="str">
        <f ca="1">IF(OR($C246="",Overview!$I$33=""),"",IF($C246&gt;Overview!$I$33,"",SUM($S$12:S246)))</f>
        <v/>
      </c>
      <c r="V246" s="43" t="str">
        <f>IF($C246="","",SUM($T$12:T246))</f>
        <v/>
      </c>
      <c r="W246" s="45" t="str">
        <f t="shared" ca="1" si="27"/>
        <v/>
      </c>
    </row>
    <row r="247" spans="3:23" x14ac:dyDescent="0.35">
      <c r="C247" s="42" t="str">
        <f>IF(OR(Overview!$D$33="",Overview!$E$33=""),"",IF(Overview!$D$33+235&gt;Overview!$E$33,"",Overview!$D$33+235))</f>
        <v/>
      </c>
      <c r="D247" s="43" t="str">
        <f t="shared" ca="1" si="31"/>
        <v/>
      </c>
      <c r="E247" s="43" t="str">
        <f t="shared" ca="1" si="31"/>
        <v/>
      </c>
      <c r="F247" s="43" t="str">
        <f t="shared" ca="1" si="31"/>
        <v/>
      </c>
      <c r="G247" s="43" t="str">
        <f t="shared" ca="1" si="31"/>
        <v/>
      </c>
      <c r="H247" s="43" t="str">
        <f t="shared" ca="1" si="31"/>
        <v/>
      </c>
      <c r="I247" s="43" t="str">
        <f t="shared" ca="1" si="31"/>
        <v/>
      </c>
      <c r="J247" s="43" t="str">
        <f t="shared" ca="1" si="31"/>
        <v/>
      </c>
      <c r="K247" s="43" t="str">
        <f t="shared" ca="1" si="31"/>
        <v/>
      </c>
      <c r="L247" s="43" t="str">
        <f t="shared" ca="1" si="31"/>
        <v/>
      </c>
      <c r="M247" s="43" t="str">
        <f t="shared" ca="1" si="31"/>
        <v/>
      </c>
      <c r="N247" s="43" t="str">
        <f t="shared" ca="1" si="31"/>
        <v/>
      </c>
      <c r="O247" s="43" t="str">
        <f t="shared" ca="1" si="31"/>
        <v/>
      </c>
      <c r="P247" s="43" t="str">
        <f t="shared" ca="1" si="31"/>
        <v/>
      </c>
      <c r="Q247" s="43" t="str">
        <f t="shared" ca="1" si="31"/>
        <v/>
      </c>
      <c r="R247" s="43" t="str">
        <f t="shared" ca="1" si="31"/>
        <v/>
      </c>
      <c r="S247" s="44" t="str">
        <f t="shared" si="26"/>
        <v/>
      </c>
      <c r="T247" s="43" t="str">
        <f>IF($C247="","",SUMIFS(Overview!$G$18:$G$32,Overview!$D$18:$D$32,"&lt;="&amp;$C247,Overview!$E$18:$E$32,"&gt;="&amp;$C247))</f>
        <v/>
      </c>
      <c r="U247" s="43" t="str">
        <f ca="1">IF(OR($C247="",Overview!$I$33=""),"",IF($C247&gt;Overview!$I$33,"",SUM($S$12:S247)))</f>
        <v/>
      </c>
      <c r="V247" s="43" t="str">
        <f>IF($C247="","",SUM($T$12:T247))</f>
        <v/>
      </c>
      <c r="W247" s="45" t="str">
        <f t="shared" ca="1" si="27"/>
        <v/>
      </c>
    </row>
    <row r="248" spans="3:23" x14ac:dyDescent="0.35">
      <c r="C248" s="42" t="str">
        <f>IF(OR(Overview!$D$33="",Overview!$E$33=""),"",IF(Overview!$D$33+236&gt;Overview!$E$33,"",Overview!$D$33+236))</f>
        <v/>
      </c>
      <c r="D248" s="43" t="str">
        <f t="shared" ca="1" si="31"/>
        <v/>
      </c>
      <c r="E248" s="43" t="str">
        <f t="shared" ca="1" si="31"/>
        <v/>
      </c>
      <c r="F248" s="43" t="str">
        <f t="shared" ca="1" si="31"/>
        <v/>
      </c>
      <c r="G248" s="43" t="str">
        <f t="shared" ca="1" si="31"/>
        <v/>
      </c>
      <c r="H248" s="43" t="str">
        <f t="shared" ca="1" si="31"/>
        <v/>
      </c>
      <c r="I248" s="43" t="str">
        <f t="shared" ca="1" si="31"/>
        <v/>
      </c>
      <c r="J248" s="43" t="str">
        <f t="shared" ca="1" si="31"/>
        <v/>
      </c>
      <c r="K248" s="43" t="str">
        <f t="shared" ca="1" si="31"/>
        <v/>
      </c>
      <c r="L248" s="43" t="str">
        <f t="shared" ca="1" si="31"/>
        <v/>
      </c>
      <c r="M248" s="43" t="str">
        <f t="shared" ca="1" si="31"/>
        <v/>
      </c>
      <c r="N248" s="43" t="str">
        <f t="shared" ca="1" si="31"/>
        <v/>
      </c>
      <c r="O248" s="43" t="str">
        <f t="shared" ca="1" si="31"/>
        <v/>
      </c>
      <c r="P248" s="43" t="str">
        <f t="shared" ca="1" si="31"/>
        <v/>
      </c>
      <c r="Q248" s="43" t="str">
        <f t="shared" ca="1" si="31"/>
        <v/>
      </c>
      <c r="R248" s="43" t="str">
        <f t="shared" ca="1" si="31"/>
        <v/>
      </c>
      <c r="S248" s="44" t="str">
        <f t="shared" si="26"/>
        <v/>
      </c>
      <c r="T248" s="43" t="str">
        <f>IF($C248="","",SUMIFS(Overview!$G$18:$G$32,Overview!$D$18:$D$32,"&lt;="&amp;$C248,Overview!$E$18:$E$32,"&gt;="&amp;$C248))</f>
        <v/>
      </c>
      <c r="U248" s="43" t="str">
        <f ca="1">IF(OR($C248="",Overview!$I$33=""),"",IF($C248&gt;Overview!$I$33,"",SUM($S$12:S248)))</f>
        <v/>
      </c>
      <c r="V248" s="43" t="str">
        <f>IF($C248="","",SUM($T$12:T248))</f>
        <v/>
      </c>
      <c r="W248" s="45" t="str">
        <f t="shared" ca="1" si="27"/>
        <v/>
      </c>
    </row>
    <row r="249" spans="3:23" x14ac:dyDescent="0.35">
      <c r="C249" s="42" t="str">
        <f>IF(OR(Overview!$D$33="",Overview!$E$33=""),"",IF(Overview!$D$33+237&gt;Overview!$E$33,"",Overview!$D$33+237))</f>
        <v/>
      </c>
      <c r="D249" s="43" t="str">
        <f t="shared" ca="1" si="31"/>
        <v/>
      </c>
      <c r="E249" s="43" t="str">
        <f t="shared" ca="1" si="31"/>
        <v/>
      </c>
      <c r="F249" s="43" t="str">
        <f t="shared" ca="1" si="31"/>
        <v/>
      </c>
      <c r="G249" s="43" t="str">
        <f t="shared" ca="1" si="31"/>
        <v/>
      </c>
      <c r="H249" s="43" t="str">
        <f t="shared" ca="1" si="31"/>
        <v/>
      </c>
      <c r="I249" s="43" t="str">
        <f t="shared" ca="1" si="31"/>
        <v/>
      </c>
      <c r="J249" s="43" t="str">
        <f t="shared" ca="1" si="31"/>
        <v/>
      </c>
      <c r="K249" s="43" t="str">
        <f t="shared" ca="1" si="31"/>
        <v/>
      </c>
      <c r="L249" s="43" t="str">
        <f t="shared" ca="1" si="31"/>
        <v/>
      </c>
      <c r="M249" s="43" t="str">
        <f t="shared" ca="1" si="31"/>
        <v/>
      </c>
      <c r="N249" s="43" t="str">
        <f t="shared" ca="1" si="31"/>
        <v/>
      </c>
      <c r="O249" s="43" t="str">
        <f t="shared" ca="1" si="31"/>
        <v/>
      </c>
      <c r="P249" s="43" t="str">
        <f t="shared" ca="1" si="31"/>
        <v/>
      </c>
      <c r="Q249" s="43" t="str">
        <f t="shared" ca="1" si="31"/>
        <v/>
      </c>
      <c r="R249" s="43" t="str">
        <f t="shared" ca="1" si="31"/>
        <v/>
      </c>
      <c r="S249" s="44" t="str">
        <f t="shared" si="26"/>
        <v/>
      </c>
      <c r="T249" s="43" t="str">
        <f>IF($C249="","",SUMIFS(Overview!$G$18:$G$32,Overview!$D$18:$D$32,"&lt;="&amp;$C249,Overview!$E$18:$E$32,"&gt;="&amp;$C249))</f>
        <v/>
      </c>
      <c r="U249" s="43" t="str">
        <f ca="1">IF(OR($C249="",Overview!$I$33=""),"",IF($C249&gt;Overview!$I$33,"",SUM($S$12:S249)))</f>
        <v/>
      </c>
      <c r="V249" s="43" t="str">
        <f>IF($C249="","",SUM($T$12:T249))</f>
        <v/>
      </c>
      <c r="W249" s="45" t="str">
        <f t="shared" ca="1" si="27"/>
        <v/>
      </c>
    </row>
    <row r="250" spans="3:23" x14ac:dyDescent="0.35">
      <c r="C250" s="42" t="str">
        <f>IF(OR(Overview!$D$33="",Overview!$E$33=""),"",IF(Overview!$D$33+238&gt;Overview!$E$33,"",Overview!$D$33+238))</f>
        <v/>
      </c>
      <c r="D250" s="43" t="str">
        <f t="shared" ca="1" si="31"/>
        <v/>
      </c>
      <c r="E250" s="43" t="str">
        <f t="shared" ca="1" si="31"/>
        <v/>
      </c>
      <c r="F250" s="43" t="str">
        <f t="shared" ca="1" si="31"/>
        <v/>
      </c>
      <c r="G250" s="43" t="str">
        <f t="shared" ca="1" si="31"/>
        <v/>
      </c>
      <c r="H250" s="43" t="str">
        <f t="shared" ca="1" si="31"/>
        <v/>
      </c>
      <c r="I250" s="43" t="str">
        <f t="shared" ca="1" si="31"/>
        <v/>
      </c>
      <c r="J250" s="43" t="str">
        <f t="shared" ca="1" si="31"/>
        <v/>
      </c>
      <c r="K250" s="43" t="str">
        <f t="shared" ca="1" si="31"/>
        <v/>
      </c>
      <c r="L250" s="43" t="str">
        <f t="shared" ca="1" si="31"/>
        <v/>
      </c>
      <c r="M250" s="43" t="str">
        <f t="shared" ca="1" si="31"/>
        <v/>
      </c>
      <c r="N250" s="43" t="str">
        <f t="shared" ca="1" si="31"/>
        <v/>
      </c>
      <c r="O250" s="43" t="str">
        <f t="shared" ca="1" si="31"/>
        <v/>
      </c>
      <c r="P250" s="43" t="str">
        <f t="shared" ca="1" si="31"/>
        <v/>
      </c>
      <c r="Q250" s="43" t="str">
        <f t="shared" ca="1" si="31"/>
        <v/>
      </c>
      <c r="R250" s="43" t="str">
        <f t="shared" ca="1" si="31"/>
        <v/>
      </c>
      <c r="S250" s="44" t="str">
        <f t="shared" si="26"/>
        <v/>
      </c>
      <c r="T250" s="43" t="str">
        <f>IF($C250="","",SUMIFS(Overview!$G$18:$G$32,Overview!$D$18:$D$32,"&lt;="&amp;$C250,Overview!$E$18:$E$32,"&gt;="&amp;$C250))</f>
        <v/>
      </c>
      <c r="U250" s="43" t="str">
        <f ca="1">IF(OR($C250="",Overview!$I$33=""),"",IF($C250&gt;Overview!$I$33,"",SUM($S$12:S250)))</f>
        <v/>
      </c>
      <c r="V250" s="43" t="str">
        <f>IF($C250="","",SUM($T$12:T250))</f>
        <v/>
      </c>
      <c r="W250" s="45" t="str">
        <f t="shared" ca="1" si="27"/>
        <v/>
      </c>
    </row>
    <row r="251" spans="3:23" x14ac:dyDescent="0.35">
      <c r="C251" s="42" t="str">
        <f>IF(OR(Overview!$D$33="",Overview!$E$33=""),"",IF(Overview!$D$33+239&gt;Overview!$E$33,"",Overview!$D$33+239))</f>
        <v/>
      </c>
      <c r="D251" s="43" t="str">
        <f t="shared" ca="1" si="31"/>
        <v/>
      </c>
      <c r="E251" s="43" t="str">
        <f t="shared" ca="1" si="31"/>
        <v/>
      </c>
      <c r="F251" s="43" t="str">
        <f t="shared" ca="1" si="31"/>
        <v/>
      </c>
      <c r="G251" s="43" t="str">
        <f t="shared" ca="1" si="31"/>
        <v/>
      </c>
      <c r="H251" s="43" t="str">
        <f t="shared" ca="1" si="31"/>
        <v/>
      </c>
      <c r="I251" s="43" t="str">
        <f t="shared" ca="1" si="31"/>
        <v/>
      </c>
      <c r="J251" s="43" t="str">
        <f t="shared" ca="1" si="31"/>
        <v/>
      </c>
      <c r="K251" s="43" t="str">
        <f t="shared" ca="1" si="31"/>
        <v/>
      </c>
      <c r="L251" s="43" t="str">
        <f t="shared" ca="1" si="31"/>
        <v/>
      </c>
      <c r="M251" s="43" t="str">
        <f t="shared" ca="1" si="31"/>
        <v/>
      </c>
      <c r="N251" s="43" t="str">
        <f t="shared" ca="1" si="31"/>
        <v/>
      </c>
      <c r="O251" s="43" t="str">
        <f t="shared" ca="1" si="31"/>
        <v/>
      </c>
      <c r="P251" s="43" t="str">
        <f t="shared" ca="1" si="31"/>
        <v/>
      </c>
      <c r="Q251" s="43" t="str">
        <f t="shared" ca="1" si="31"/>
        <v/>
      </c>
      <c r="R251" s="43" t="str">
        <f t="shared" ca="1" si="31"/>
        <v/>
      </c>
      <c r="S251" s="44" t="str">
        <f t="shared" si="26"/>
        <v/>
      </c>
      <c r="T251" s="43" t="str">
        <f>IF($C251="","",SUMIFS(Overview!$G$18:$G$32,Overview!$D$18:$D$32,"&lt;="&amp;$C251,Overview!$E$18:$E$32,"&gt;="&amp;$C251))</f>
        <v/>
      </c>
      <c r="U251" s="43" t="str">
        <f ca="1">IF(OR($C251="",Overview!$I$33=""),"",IF($C251&gt;Overview!$I$33,"",SUM($S$12:S251)))</f>
        <v/>
      </c>
      <c r="V251" s="43" t="str">
        <f>IF($C251="","",SUM($T$12:T251))</f>
        <v/>
      </c>
      <c r="W251" s="45" t="str">
        <f t="shared" ca="1" si="27"/>
        <v/>
      </c>
    </row>
    <row r="252" spans="3:23" x14ac:dyDescent="0.35">
      <c r="C252" s="42" t="str">
        <f>IF(OR(Overview!$D$33="",Overview!$E$33=""),"",IF(Overview!$D$33+240&gt;Overview!$E$33,"",Overview!$D$33+240))</f>
        <v/>
      </c>
      <c r="D252" s="43" t="str">
        <f t="shared" ref="D252:R261" ca="1" si="32">IF(OR($C252="",D$11=""),"",IFERROR(SUMIFS(INDIRECT("'"&amp;D$11&amp;"'!$F$14:$F$10013"),INDIRECT("'"&amp;D$11&amp;"'!$C$14:$C$10013"),$C252),""))</f>
        <v/>
      </c>
      <c r="E252" s="43" t="str">
        <f t="shared" ca="1" si="32"/>
        <v/>
      </c>
      <c r="F252" s="43" t="str">
        <f t="shared" ca="1" si="32"/>
        <v/>
      </c>
      <c r="G252" s="43" t="str">
        <f t="shared" ca="1" si="32"/>
        <v/>
      </c>
      <c r="H252" s="43" t="str">
        <f t="shared" ca="1" si="32"/>
        <v/>
      </c>
      <c r="I252" s="43" t="str">
        <f t="shared" ca="1" si="32"/>
        <v/>
      </c>
      <c r="J252" s="43" t="str">
        <f t="shared" ca="1" si="32"/>
        <v/>
      </c>
      <c r="K252" s="43" t="str">
        <f t="shared" ca="1" si="32"/>
        <v/>
      </c>
      <c r="L252" s="43" t="str">
        <f t="shared" ca="1" si="32"/>
        <v/>
      </c>
      <c r="M252" s="43" t="str">
        <f t="shared" ca="1" si="32"/>
        <v/>
      </c>
      <c r="N252" s="43" t="str">
        <f t="shared" ca="1" si="32"/>
        <v/>
      </c>
      <c r="O252" s="43" t="str">
        <f t="shared" ca="1" si="32"/>
        <v/>
      </c>
      <c r="P252" s="43" t="str">
        <f t="shared" ca="1" si="32"/>
        <v/>
      </c>
      <c r="Q252" s="43" t="str">
        <f t="shared" ca="1" si="32"/>
        <v/>
      </c>
      <c r="R252" s="43" t="str">
        <f t="shared" ca="1" si="32"/>
        <v/>
      </c>
      <c r="S252" s="44" t="str">
        <f t="shared" si="26"/>
        <v/>
      </c>
      <c r="T252" s="43" t="str">
        <f>IF($C252="","",SUMIFS(Overview!$G$18:$G$32,Overview!$D$18:$D$32,"&lt;="&amp;$C252,Overview!$E$18:$E$32,"&gt;="&amp;$C252))</f>
        <v/>
      </c>
      <c r="U252" s="43" t="str">
        <f ca="1">IF(OR($C252="",Overview!$I$33=""),"",IF($C252&gt;Overview!$I$33,"",SUM($S$12:S252)))</f>
        <v/>
      </c>
      <c r="V252" s="43" t="str">
        <f>IF($C252="","",SUM($T$12:T252))</f>
        <v/>
      </c>
      <c r="W252" s="45" t="str">
        <f t="shared" ca="1" si="27"/>
        <v/>
      </c>
    </row>
    <row r="253" spans="3:23" x14ac:dyDescent="0.35">
      <c r="C253" s="42" t="str">
        <f>IF(OR(Overview!$D$33="",Overview!$E$33=""),"",IF(Overview!$D$33+241&gt;Overview!$E$33,"",Overview!$D$33+241))</f>
        <v/>
      </c>
      <c r="D253" s="43" t="str">
        <f t="shared" ca="1" si="32"/>
        <v/>
      </c>
      <c r="E253" s="43" t="str">
        <f t="shared" ca="1" si="32"/>
        <v/>
      </c>
      <c r="F253" s="43" t="str">
        <f t="shared" ca="1" si="32"/>
        <v/>
      </c>
      <c r="G253" s="43" t="str">
        <f t="shared" ca="1" si="32"/>
        <v/>
      </c>
      <c r="H253" s="43" t="str">
        <f t="shared" ca="1" si="32"/>
        <v/>
      </c>
      <c r="I253" s="43" t="str">
        <f t="shared" ca="1" si="32"/>
        <v/>
      </c>
      <c r="J253" s="43" t="str">
        <f t="shared" ca="1" si="32"/>
        <v/>
      </c>
      <c r="K253" s="43" t="str">
        <f t="shared" ca="1" si="32"/>
        <v/>
      </c>
      <c r="L253" s="43" t="str">
        <f t="shared" ca="1" si="32"/>
        <v/>
      </c>
      <c r="M253" s="43" t="str">
        <f t="shared" ca="1" si="32"/>
        <v/>
      </c>
      <c r="N253" s="43" t="str">
        <f t="shared" ca="1" si="32"/>
        <v/>
      </c>
      <c r="O253" s="43" t="str">
        <f t="shared" ca="1" si="32"/>
        <v/>
      </c>
      <c r="P253" s="43" t="str">
        <f t="shared" ca="1" si="32"/>
        <v/>
      </c>
      <c r="Q253" s="43" t="str">
        <f t="shared" ca="1" si="32"/>
        <v/>
      </c>
      <c r="R253" s="43" t="str">
        <f t="shared" ca="1" si="32"/>
        <v/>
      </c>
      <c r="S253" s="44" t="str">
        <f t="shared" si="26"/>
        <v/>
      </c>
      <c r="T253" s="43" t="str">
        <f>IF($C253="","",SUMIFS(Overview!$G$18:$G$32,Overview!$D$18:$D$32,"&lt;="&amp;$C253,Overview!$E$18:$E$32,"&gt;="&amp;$C253))</f>
        <v/>
      </c>
      <c r="U253" s="43" t="str">
        <f ca="1">IF(OR($C253="",Overview!$I$33=""),"",IF($C253&gt;Overview!$I$33,"",SUM($S$12:S253)))</f>
        <v/>
      </c>
      <c r="V253" s="43" t="str">
        <f>IF($C253="","",SUM($T$12:T253))</f>
        <v/>
      </c>
      <c r="W253" s="45" t="str">
        <f t="shared" ca="1" si="27"/>
        <v/>
      </c>
    </row>
    <row r="254" spans="3:23" x14ac:dyDescent="0.35">
      <c r="C254" s="42" t="str">
        <f>IF(OR(Overview!$D$33="",Overview!$E$33=""),"",IF(Overview!$D$33+242&gt;Overview!$E$33,"",Overview!$D$33+242))</f>
        <v/>
      </c>
      <c r="D254" s="43" t="str">
        <f t="shared" ca="1" si="32"/>
        <v/>
      </c>
      <c r="E254" s="43" t="str">
        <f t="shared" ca="1" si="32"/>
        <v/>
      </c>
      <c r="F254" s="43" t="str">
        <f t="shared" ca="1" si="32"/>
        <v/>
      </c>
      <c r="G254" s="43" t="str">
        <f t="shared" ca="1" si="32"/>
        <v/>
      </c>
      <c r="H254" s="43" t="str">
        <f t="shared" ca="1" si="32"/>
        <v/>
      </c>
      <c r="I254" s="43" t="str">
        <f t="shared" ca="1" si="32"/>
        <v/>
      </c>
      <c r="J254" s="43" t="str">
        <f t="shared" ca="1" si="32"/>
        <v/>
      </c>
      <c r="K254" s="43" t="str">
        <f t="shared" ca="1" si="32"/>
        <v/>
      </c>
      <c r="L254" s="43" t="str">
        <f t="shared" ca="1" si="32"/>
        <v/>
      </c>
      <c r="M254" s="43" t="str">
        <f t="shared" ca="1" si="32"/>
        <v/>
      </c>
      <c r="N254" s="43" t="str">
        <f t="shared" ca="1" si="32"/>
        <v/>
      </c>
      <c r="O254" s="43" t="str">
        <f t="shared" ca="1" si="32"/>
        <v/>
      </c>
      <c r="P254" s="43" t="str">
        <f t="shared" ca="1" si="32"/>
        <v/>
      </c>
      <c r="Q254" s="43" t="str">
        <f t="shared" ca="1" si="32"/>
        <v/>
      </c>
      <c r="R254" s="43" t="str">
        <f t="shared" ca="1" si="32"/>
        <v/>
      </c>
      <c r="S254" s="44" t="str">
        <f t="shared" si="26"/>
        <v/>
      </c>
      <c r="T254" s="43" t="str">
        <f>IF($C254="","",SUMIFS(Overview!$G$18:$G$32,Overview!$D$18:$D$32,"&lt;="&amp;$C254,Overview!$E$18:$E$32,"&gt;="&amp;$C254))</f>
        <v/>
      </c>
      <c r="U254" s="43" t="str">
        <f ca="1">IF(OR($C254="",Overview!$I$33=""),"",IF($C254&gt;Overview!$I$33,"",SUM($S$12:S254)))</f>
        <v/>
      </c>
      <c r="V254" s="43" t="str">
        <f>IF($C254="","",SUM($T$12:T254))</f>
        <v/>
      </c>
      <c r="W254" s="45" t="str">
        <f t="shared" ca="1" si="27"/>
        <v/>
      </c>
    </row>
    <row r="255" spans="3:23" x14ac:dyDescent="0.35">
      <c r="C255" s="42" t="str">
        <f>IF(OR(Overview!$D$33="",Overview!$E$33=""),"",IF(Overview!$D$33+243&gt;Overview!$E$33,"",Overview!$D$33+243))</f>
        <v/>
      </c>
      <c r="D255" s="43" t="str">
        <f t="shared" ca="1" si="32"/>
        <v/>
      </c>
      <c r="E255" s="43" t="str">
        <f t="shared" ca="1" si="32"/>
        <v/>
      </c>
      <c r="F255" s="43" t="str">
        <f t="shared" ca="1" si="32"/>
        <v/>
      </c>
      <c r="G255" s="43" t="str">
        <f t="shared" ca="1" si="32"/>
        <v/>
      </c>
      <c r="H255" s="43" t="str">
        <f t="shared" ca="1" si="32"/>
        <v/>
      </c>
      <c r="I255" s="43" t="str">
        <f t="shared" ca="1" si="32"/>
        <v/>
      </c>
      <c r="J255" s="43" t="str">
        <f t="shared" ca="1" si="32"/>
        <v/>
      </c>
      <c r="K255" s="43" t="str">
        <f t="shared" ca="1" si="32"/>
        <v/>
      </c>
      <c r="L255" s="43" t="str">
        <f t="shared" ca="1" si="32"/>
        <v/>
      </c>
      <c r="M255" s="43" t="str">
        <f t="shared" ca="1" si="32"/>
        <v/>
      </c>
      <c r="N255" s="43" t="str">
        <f t="shared" ca="1" si="32"/>
        <v/>
      </c>
      <c r="O255" s="43" t="str">
        <f t="shared" ca="1" si="32"/>
        <v/>
      </c>
      <c r="P255" s="43" t="str">
        <f t="shared" ca="1" si="32"/>
        <v/>
      </c>
      <c r="Q255" s="43" t="str">
        <f t="shared" ca="1" si="32"/>
        <v/>
      </c>
      <c r="R255" s="43" t="str">
        <f t="shared" ca="1" si="32"/>
        <v/>
      </c>
      <c r="S255" s="44" t="str">
        <f t="shared" si="26"/>
        <v/>
      </c>
      <c r="T255" s="43" t="str">
        <f>IF($C255="","",SUMIFS(Overview!$G$18:$G$32,Overview!$D$18:$D$32,"&lt;="&amp;$C255,Overview!$E$18:$E$32,"&gt;="&amp;$C255))</f>
        <v/>
      </c>
      <c r="U255" s="43" t="str">
        <f ca="1">IF(OR($C255="",Overview!$I$33=""),"",IF($C255&gt;Overview!$I$33,"",SUM($S$12:S255)))</f>
        <v/>
      </c>
      <c r="V255" s="43" t="str">
        <f>IF($C255="","",SUM($T$12:T255))</f>
        <v/>
      </c>
      <c r="W255" s="45" t="str">
        <f t="shared" ca="1" si="27"/>
        <v/>
      </c>
    </row>
    <row r="256" spans="3:23" x14ac:dyDescent="0.35">
      <c r="C256" s="42" t="str">
        <f>IF(OR(Overview!$D$33="",Overview!$E$33=""),"",IF(Overview!$D$33+244&gt;Overview!$E$33,"",Overview!$D$33+244))</f>
        <v/>
      </c>
      <c r="D256" s="43" t="str">
        <f t="shared" ca="1" si="32"/>
        <v/>
      </c>
      <c r="E256" s="43" t="str">
        <f t="shared" ca="1" si="32"/>
        <v/>
      </c>
      <c r="F256" s="43" t="str">
        <f t="shared" ca="1" si="32"/>
        <v/>
      </c>
      <c r="G256" s="43" t="str">
        <f t="shared" ca="1" si="32"/>
        <v/>
      </c>
      <c r="H256" s="43" t="str">
        <f t="shared" ca="1" si="32"/>
        <v/>
      </c>
      <c r="I256" s="43" t="str">
        <f t="shared" ca="1" si="32"/>
        <v/>
      </c>
      <c r="J256" s="43" t="str">
        <f t="shared" ca="1" si="32"/>
        <v/>
      </c>
      <c r="K256" s="43" t="str">
        <f t="shared" ca="1" si="32"/>
        <v/>
      </c>
      <c r="L256" s="43" t="str">
        <f t="shared" ca="1" si="32"/>
        <v/>
      </c>
      <c r="M256" s="43" t="str">
        <f t="shared" ca="1" si="32"/>
        <v/>
      </c>
      <c r="N256" s="43" t="str">
        <f t="shared" ca="1" si="32"/>
        <v/>
      </c>
      <c r="O256" s="43" t="str">
        <f t="shared" ca="1" si="32"/>
        <v/>
      </c>
      <c r="P256" s="43" t="str">
        <f t="shared" ca="1" si="32"/>
        <v/>
      </c>
      <c r="Q256" s="43" t="str">
        <f t="shared" ca="1" si="32"/>
        <v/>
      </c>
      <c r="R256" s="43" t="str">
        <f t="shared" ca="1" si="32"/>
        <v/>
      </c>
      <c r="S256" s="44" t="str">
        <f t="shared" si="26"/>
        <v/>
      </c>
      <c r="T256" s="43" t="str">
        <f>IF($C256="","",SUMIFS(Overview!$G$18:$G$32,Overview!$D$18:$D$32,"&lt;="&amp;$C256,Overview!$E$18:$E$32,"&gt;="&amp;$C256))</f>
        <v/>
      </c>
      <c r="U256" s="43" t="str">
        <f ca="1">IF(OR($C256="",Overview!$I$33=""),"",IF($C256&gt;Overview!$I$33,"",SUM($S$12:S256)))</f>
        <v/>
      </c>
      <c r="V256" s="43" t="str">
        <f>IF($C256="","",SUM($T$12:T256))</f>
        <v/>
      </c>
      <c r="W256" s="45" t="str">
        <f t="shared" ca="1" si="27"/>
        <v/>
      </c>
    </row>
    <row r="257" spans="3:23" x14ac:dyDescent="0.35">
      <c r="C257" s="42" t="str">
        <f>IF(OR(Overview!$D$33="",Overview!$E$33=""),"",IF(Overview!$D$33+245&gt;Overview!$E$33,"",Overview!$D$33+245))</f>
        <v/>
      </c>
      <c r="D257" s="43" t="str">
        <f t="shared" ca="1" si="32"/>
        <v/>
      </c>
      <c r="E257" s="43" t="str">
        <f t="shared" ca="1" si="32"/>
        <v/>
      </c>
      <c r="F257" s="43" t="str">
        <f t="shared" ca="1" si="32"/>
        <v/>
      </c>
      <c r="G257" s="43" t="str">
        <f t="shared" ca="1" si="32"/>
        <v/>
      </c>
      <c r="H257" s="43" t="str">
        <f t="shared" ca="1" si="32"/>
        <v/>
      </c>
      <c r="I257" s="43" t="str">
        <f t="shared" ca="1" si="32"/>
        <v/>
      </c>
      <c r="J257" s="43" t="str">
        <f t="shared" ca="1" si="32"/>
        <v/>
      </c>
      <c r="K257" s="43" t="str">
        <f t="shared" ca="1" si="32"/>
        <v/>
      </c>
      <c r="L257" s="43" t="str">
        <f t="shared" ca="1" si="32"/>
        <v/>
      </c>
      <c r="M257" s="43" t="str">
        <f t="shared" ca="1" si="32"/>
        <v/>
      </c>
      <c r="N257" s="43" t="str">
        <f t="shared" ca="1" si="32"/>
        <v/>
      </c>
      <c r="O257" s="43" t="str">
        <f t="shared" ca="1" si="32"/>
        <v/>
      </c>
      <c r="P257" s="43" t="str">
        <f t="shared" ca="1" si="32"/>
        <v/>
      </c>
      <c r="Q257" s="43" t="str">
        <f t="shared" ca="1" si="32"/>
        <v/>
      </c>
      <c r="R257" s="43" t="str">
        <f t="shared" ca="1" si="32"/>
        <v/>
      </c>
      <c r="S257" s="44" t="str">
        <f t="shared" si="26"/>
        <v/>
      </c>
      <c r="T257" s="43" t="str">
        <f>IF($C257="","",SUMIFS(Overview!$G$18:$G$32,Overview!$D$18:$D$32,"&lt;="&amp;$C257,Overview!$E$18:$E$32,"&gt;="&amp;$C257))</f>
        <v/>
      </c>
      <c r="U257" s="43" t="str">
        <f ca="1">IF(OR($C257="",Overview!$I$33=""),"",IF($C257&gt;Overview!$I$33,"",SUM($S$12:S257)))</f>
        <v/>
      </c>
      <c r="V257" s="43" t="str">
        <f>IF($C257="","",SUM($T$12:T257))</f>
        <v/>
      </c>
      <c r="W257" s="45" t="str">
        <f t="shared" ca="1" si="27"/>
        <v/>
      </c>
    </row>
    <row r="258" spans="3:23" x14ac:dyDescent="0.35">
      <c r="C258" s="42" t="str">
        <f>IF(OR(Overview!$D$33="",Overview!$E$33=""),"",IF(Overview!$D$33+246&gt;Overview!$E$33,"",Overview!$D$33+246))</f>
        <v/>
      </c>
      <c r="D258" s="43" t="str">
        <f t="shared" ca="1" si="32"/>
        <v/>
      </c>
      <c r="E258" s="43" t="str">
        <f t="shared" ca="1" si="32"/>
        <v/>
      </c>
      <c r="F258" s="43" t="str">
        <f t="shared" ca="1" si="32"/>
        <v/>
      </c>
      <c r="G258" s="43" t="str">
        <f t="shared" ca="1" si="32"/>
        <v/>
      </c>
      <c r="H258" s="43" t="str">
        <f t="shared" ca="1" si="32"/>
        <v/>
      </c>
      <c r="I258" s="43" t="str">
        <f t="shared" ca="1" si="32"/>
        <v/>
      </c>
      <c r="J258" s="43" t="str">
        <f t="shared" ca="1" si="32"/>
        <v/>
      </c>
      <c r="K258" s="43" t="str">
        <f t="shared" ca="1" si="32"/>
        <v/>
      </c>
      <c r="L258" s="43" t="str">
        <f t="shared" ca="1" si="32"/>
        <v/>
      </c>
      <c r="M258" s="43" t="str">
        <f t="shared" ca="1" si="32"/>
        <v/>
      </c>
      <c r="N258" s="43" t="str">
        <f t="shared" ca="1" si="32"/>
        <v/>
      </c>
      <c r="O258" s="43" t="str">
        <f t="shared" ca="1" si="32"/>
        <v/>
      </c>
      <c r="P258" s="43" t="str">
        <f t="shared" ca="1" si="32"/>
        <v/>
      </c>
      <c r="Q258" s="43" t="str">
        <f t="shared" ca="1" si="32"/>
        <v/>
      </c>
      <c r="R258" s="43" t="str">
        <f t="shared" ca="1" si="32"/>
        <v/>
      </c>
      <c r="S258" s="44" t="str">
        <f t="shared" si="26"/>
        <v/>
      </c>
      <c r="T258" s="43" t="str">
        <f>IF($C258="","",SUMIFS(Overview!$G$18:$G$32,Overview!$D$18:$D$32,"&lt;="&amp;$C258,Overview!$E$18:$E$32,"&gt;="&amp;$C258))</f>
        <v/>
      </c>
      <c r="U258" s="43" t="str">
        <f ca="1">IF(OR($C258="",Overview!$I$33=""),"",IF($C258&gt;Overview!$I$33,"",SUM($S$12:S258)))</f>
        <v/>
      </c>
      <c r="V258" s="43" t="str">
        <f>IF($C258="","",SUM($T$12:T258))</f>
        <v/>
      </c>
      <c r="W258" s="45" t="str">
        <f t="shared" ca="1" si="27"/>
        <v/>
      </c>
    </row>
    <row r="259" spans="3:23" x14ac:dyDescent="0.35">
      <c r="C259" s="42" t="str">
        <f>IF(OR(Overview!$D$33="",Overview!$E$33=""),"",IF(Overview!$D$33+247&gt;Overview!$E$33,"",Overview!$D$33+247))</f>
        <v/>
      </c>
      <c r="D259" s="43" t="str">
        <f t="shared" ca="1" si="32"/>
        <v/>
      </c>
      <c r="E259" s="43" t="str">
        <f t="shared" ca="1" si="32"/>
        <v/>
      </c>
      <c r="F259" s="43" t="str">
        <f t="shared" ca="1" si="32"/>
        <v/>
      </c>
      <c r="G259" s="43" t="str">
        <f t="shared" ca="1" si="32"/>
        <v/>
      </c>
      <c r="H259" s="43" t="str">
        <f t="shared" ca="1" si="32"/>
        <v/>
      </c>
      <c r="I259" s="43" t="str">
        <f t="shared" ca="1" si="32"/>
        <v/>
      </c>
      <c r="J259" s="43" t="str">
        <f t="shared" ca="1" si="32"/>
        <v/>
      </c>
      <c r="K259" s="43" t="str">
        <f t="shared" ca="1" si="32"/>
        <v/>
      </c>
      <c r="L259" s="43" t="str">
        <f t="shared" ca="1" si="32"/>
        <v/>
      </c>
      <c r="M259" s="43" t="str">
        <f t="shared" ca="1" si="32"/>
        <v/>
      </c>
      <c r="N259" s="43" t="str">
        <f t="shared" ca="1" si="32"/>
        <v/>
      </c>
      <c r="O259" s="43" t="str">
        <f t="shared" ca="1" si="32"/>
        <v/>
      </c>
      <c r="P259" s="43" t="str">
        <f t="shared" ca="1" si="32"/>
        <v/>
      </c>
      <c r="Q259" s="43" t="str">
        <f t="shared" ca="1" si="32"/>
        <v/>
      </c>
      <c r="R259" s="43" t="str">
        <f t="shared" ca="1" si="32"/>
        <v/>
      </c>
      <c r="S259" s="44" t="str">
        <f t="shared" si="26"/>
        <v/>
      </c>
      <c r="T259" s="43" t="str">
        <f>IF($C259="","",SUMIFS(Overview!$G$18:$G$32,Overview!$D$18:$D$32,"&lt;="&amp;$C259,Overview!$E$18:$E$32,"&gt;="&amp;$C259))</f>
        <v/>
      </c>
      <c r="U259" s="43" t="str">
        <f ca="1">IF(OR($C259="",Overview!$I$33=""),"",IF($C259&gt;Overview!$I$33,"",SUM($S$12:S259)))</f>
        <v/>
      </c>
      <c r="V259" s="43" t="str">
        <f>IF($C259="","",SUM($T$12:T259))</f>
        <v/>
      </c>
      <c r="W259" s="45" t="str">
        <f t="shared" ca="1" si="27"/>
        <v/>
      </c>
    </row>
    <row r="260" spans="3:23" x14ac:dyDescent="0.35">
      <c r="C260" s="42" t="str">
        <f>IF(OR(Overview!$D$33="",Overview!$E$33=""),"",IF(Overview!$D$33+248&gt;Overview!$E$33,"",Overview!$D$33+248))</f>
        <v/>
      </c>
      <c r="D260" s="43" t="str">
        <f t="shared" ca="1" si="32"/>
        <v/>
      </c>
      <c r="E260" s="43" t="str">
        <f t="shared" ca="1" si="32"/>
        <v/>
      </c>
      <c r="F260" s="43" t="str">
        <f t="shared" ca="1" si="32"/>
        <v/>
      </c>
      <c r="G260" s="43" t="str">
        <f t="shared" ca="1" si="32"/>
        <v/>
      </c>
      <c r="H260" s="43" t="str">
        <f t="shared" ca="1" si="32"/>
        <v/>
      </c>
      <c r="I260" s="43" t="str">
        <f t="shared" ca="1" si="32"/>
        <v/>
      </c>
      <c r="J260" s="43" t="str">
        <f t="shared" ca="1" si="32"/>
        <v/>
      </c>
      <c r="K260" s="43" t="str">
        <f t="shared" ca="1" si="32"/>
        <v/>
      </c>
      <c r="L260" s="43" t="str">
        <f t="shared" ca="1" si="32"/>
        <v/>
      </c>
      <c r="M260" s="43" t="str">
        <f t="shared" ca="1" si="32"/>
        <v/>
      </c>
      <c r="N260" s="43" t="str">
        <f t="shared" ca="1" si="32"/>
        <v/>
      </c>
      <c r="O260" s="43" t="str">
        <f t="shared" ca="1" si="32"/>
        <v/>
      </c>
      <c r="P260" s="43" t="str">
        <f t="shared" ca="1" si="32"/>
        <v/>
      </c>
      <c r="Q260" s="43" t="str">
        <f t="shared" ca="1" si="32"/>
        <v/>
      </c>
      <c r="R260" s="43" t="str">
        <f t="shared" ca="1" si="32"/>
        <v/>
      </c>
      <c r="S260" s="44" t="str">
        <f t="shared" si="26"/>
        <v/>
      </c>
      <c r="T260" s="43" t="str">
        <f>IF($C260="","",SUMIFS(Overview!$G$18:$G$32,Overview!$D$18:$D$32,"&lt;="&amp;$C260,Overview!$E$18:$E$32,"&gt;="&amp;$C260))</f>
        <v/>
      </c>
      <c r="U260" s="43" t="str">
        <f ca="1">IF(OR($C260="",Overview!$I$33=""),"",IF($C260&gt;Overview!$I$33,"",SUM($S$12:S260)))</f>
        <v/>
      </c>
      <c r="V260" s="43" t="str">
        <f>IF($C260="","",SUM($T$12:T260))</f>
        <v/>
      </c>
      <c r="W260" s="45" t="str">
        <f t="shared" ca="1" si="27"/>
        <v/>
      </c>
    </row>
    <row r="261" spans="3:23" x14ac:dyDescent="0.35">
      <c r="C261" s="42" t="str">
        <f>IF(OR(Overview!$D$33="",Overview!$E$33=""),"",IF(Overview!$D$33+249&gt;Overview!$E$33,"",Overview!$D$33+249))</f>
        <v/>
      </c>
      <c r="D261" s="43" t="str">
        <f t="shared" ca="1" si="32"/>
        <v/>
      </c>
      <c r="E261" s="43" t="str">
        <f t="shared" ca="1" si="32"/>
        <v/>
      </c>
      <c r="F261" s="43" t="str">
        <f t="shared" ca="1" si="32"/>
        <v/>
      </c>
      <c r="G261" s="43" t="str">
        <f t="shared" ca="1" si="32"/>
        <v/>
      </c>
      <c r="H261" s="43" t="str">
        <f t="shared" ca="1" si="32"/>
        <v/>
      </c>
      <c r="I261" s="43" t="str">
        <f t="shared" ca="1" si="32"/>
        <v/>
      </c>
      <c r="J261" s="43" t="str">
        <f t="shared" ca="1" si="32"/>
        <v/>
      </c>
      <c r="K261" s="43" t="str">
        <f t="shared" ca="1" si="32"/>
        <v/>
      </c>
      <c r="L261" s="43" t="str">
        <f t="shared" ca="1" si="32"/>
        <v/>
      </c>
      <c r="M261" s="43" t="str">
        <f t="shared" ca="1" si="32"/>
        <v/>
      </c>
      <c r="N261" s="43" t="str">
        <f t="shared" ca="1" si="32"/>
        <v/>
      </c>
      <c r="O261" s="43" t="str">
        <f t="shared" ca="1" si="32"/>
        <v/>
      </c>
      <c r="P261" s="43" t="str">
        <f t="shared" ca="1" si="32"/>
        <v/>
      </c>
      <c r="Q261" s="43" t="str">
        <f t="shared" ca="1" si="32"/>
        <v/>
      </c>
      <c r="R261" s="43" t="str">
        <f t="shared" ca="1" si="32"/>
        <v/>
      </c>
      <c r="S261" s="44" t="str">
        <f t="shared" si="26"/>
        <v/>
      </c>
      <c r="T261" s="43" t="str">
        <f>IF($C261="","",SUMIFS(Overview!$G$18:$G$32,Overview!$D$18:$D$32,"&lt;="&amp;$C261,Overview!$E$18:$E$32,"&gt;="&amp;$C261))</f>
        <v/>
      </c>
      <c r="U261" s="43" t="str">
        <f ca="1">IF(OR($C261="",Overview!$I$33=""),"",IF($C261&gt;Overview!$I$33,"",SUM($S$12:S261)))</f>
        <v/>
      </c>
      <c r="V261" s="43" t="str">
        <f>IF($C261="","",SUM($T$12:T261))</f>
        <v/>
      </c>
      <c r="W261" s="45" t="str">
        <f t="shared" ca="1" si="27"/>
        <v/>
      </c>
    </row>
    <row r="262" spans="3:23" x14ac:dyDescent="0.35">
      <c r="C262" s="42" t="str">
        <f>IF(OR(Overview!$D$33="",Overview!$E$33=""),"",IF(Overview!$D$33+250&gt;Overview!$E$33,"",Overview!$D$33+250))</f>
        <v/>
      </c>
      <c r="D262" s="43" t="str">
        <f t="shared" ref="D262:R271" ca="1" si="33">IF(OR($C262="",D$11=""),"",IFERROR(SUMIFS(INDIRECT("'"&amp;D$11&amp;"'!$F$14:$F$10013"),INDIRECT("'"&amp;D$11&amp;"'!$C$14:$C$10013"),$C262),""))</f>
        <v/>
      </c>
      <c r="E262" s="43" t="str">
        <f t="shared" ca="1" si="33"/>
        <v/>
      </c>
      <c r="F262" s="43" t="str">
        <f t="shared" ca="1" si="33"/>
        <v/>
      </c>
      <c r="G262" s="43" t="str">
        <f t="shared" ca="1" si="33"/>
        <v/>
      </c>
      <c r="H262" s="43" t="str">
        <f t="shared" ca="1" si="33"/>
        <v/>
      </c>
      <c r="I262" s="43" t="str">
        <f t="shared" ca="1" si="33"/>
        <v/>
      </c>
      <c r="J262" s="43" t="str">
        <f t="shared" ca="1" si="33"/>
        <v/>
      </c>
      <c r="K262" s="43" t="str">
        <f t="shared" ca="1" si="33"/>
        <v/>
      </c>
      <c r="L262" s="43" t="str">
        <f t="shared" ca="1" si="33"/>
        <v/>
      </c>
      <c r="M262" s="43" t="str">
        <f t="shared" ca="1" si="33"/>
        <v/>
      </c>
      <c r="N262" s="43" t="str">
        <f t="shared" ca="1" si="33"/>
        <v/>
      </c>
      <c r="O262" s="43" t="str">
        <f t="shared" ca="1" si="33"/>
        <v/>
      </c>
      <c r="P262" s="43" t="str">
        <f t="shared" ca="1" si="33"/>
        <v/>
      </c>
      <c r="Q262" s="43" t="str">
        <f t="shared" ca="1" si="33"/>
        <v/>
      </c>
      <c r="R262" s="43" t="str">
        <f t="shared" ca="1" si="33"/>
        <v/>
      </c>
      <c r="S262" s="44" t="str">
        <f t="shared" si="26"/>
        <v/>
      </c>
      <c r="T262" s="43" t="str">
        <f>IF($C262="","",SUMIFS(Overview!$G$18:$G$32,Overview!$D$18:$D$32,"&lt;="&amp;$C262,Overview!$E$18:$E$32,"&gt;="&amp;$C262))</f>
        <v/>
      </c>
      <c r="U262" s="43" t="str">
        <f ca="1">IF(OR($C262="",Overview!$I$33=""),"",IF($C262&gt;Overview!$I$33,"",SUM($S$12:S262)))</f>
        <v/>
      </c>
      <c r="V262" s="43" t="str">
        <f>IF($C262="","",SUM($T$12:T262))</f>
        <v/>
      </c>
      <c r="W262" s="45" t="str">
        <f t="shared" ca="1" si="27"/>
        <v/>
      </c>
    </row>
    <row r="263" spans="3:23" x14ac:dyDescent="0.35">
      <c r="C263" s="42" t="str">
        <f>IF(OR(Overview!$D$33="",Overview!$E$33=""),"",IF(Overview!$D$33+251&gt;Overview!$E$33,"",Overview!$D$33+251))</f>
        <v/>
      </c>
      <c r="D263" s="43" t="str">
        <f t="shared" ca="1" si="33"/>
        <v/>
      </c>
      <c r="E263" s="43" t="str">
        <f t="shared" ca="1" si="33"/>
        <v/>
      </c>
      <c r="F263" s="43" t="str">
        <f t="shared" ca="1" si="33"/>
        <v/>
      </c>
      <c r="G263" s="43" t="str">
        <f t="shared" ca="1" si="33"/>
        <v/>
      </c>
      <c r="H263" s="43" t="str">
        <f t="shared" ca="1" si="33"/>
        <v/>
      </c>
      <c r="I263" s="43" t="str">
        <f t="shared" ca="1" si="33"/>
        <v/>
      </c>
      <c r="J263" s="43" t="str">
        <f t="shared" ca="1" si="33"/>
        <v/>
      </c>
      <c r="K263" s="43" t="str">
        <f t="shared" ca="1" si="33"/>
        <v/>
      </c>
      <c r="L263" s="43" t="str">
        <f t="shared" ca="1" si="33"/>
        <v/>
      </c>
      <c r="M263" s="43" t="str">
        <f t="shared" ca="1" si="33"/>
        <v/>
      </c>
      <c r="N263" s="43" t="str">
        <f t="shared" ca="1" si="33"/>
        <v/>
      </c>
      <c r="O263" s="43" t="str">
        <f t="shared" ca="1" si="33"/>
        <v/>
      </c>
      <c r="P263" s="43" t="str">
        <f t="shared" ca="1" si="33"/>
        <v/>
      </c>
      <c r="Q263" s="43" t="str">
        <f t="shared" ca="1" si="33"/>
        <v/>
      </c>
      <c r="R263" s="43" t="str">
        <f t="shared" ca="1" si="33"/>
        <v/>
      </c>
      <c r="S263" s="44" t="str">
        <f t="shared" si="26"/>
        <v/>
      </c>
      <c r="T263" s="43" t="str">
        <f>IF($C263="","",SUMIFS(Overview!$G$18:$G$32,Overview!$D$18:$D$32,"&lt;="&amp;$C263,Overview!$E$18:$E$32,"&gt;="&amp;$C263))</f>
        <v/>
      </c>
      <c r="U263" s="43" t="str">
        <f ca="1">IF(OR($C263="",Overview!$I$33=""),"",IF($C263&gt;Overview!$I$33,"",SUM($S$12:S263)))</f>
        <v/>
      </c>
      <c r="V263" s="43" t="str">
        <f>IF($C263="","",SUM($T$12:T263))</f>
        <v/>
      </c>
      <c r="W263" s="45" t="str">
        <f t="shared" ca="1" si="27"/>
        <v/>
      </c>
    </row>
    <row r="264" spans="3:23" x14ac:dyDescent="0.35">
      <c r="C264" s="42" t="str">
        <f>IF(OR(Overview!$D$33="",Overview!$E$33=""),"",IF(Overview!$D$33+252&gt;Overview!$E$33,"",Overview!$D$33+252))</f>
        <v/>
      </c>
      <c r="D264" s="43" t="str">
        <f t="shared" ca="1" si="33"/>
        <v/>
      </c>
      <c r="E264" s="43" t="str">
        <f t="shared" ca="1" si="33"/>
        <v/>
      </c>
      <c r="F264" s="43" t="str">
        <f t="shared" ca="1" si="33"/>
        <v/>
      </c>
      <c r="G264" s="43" t="str">
        <f t="shared" ca="1" si="33"/>
        <v/>
      </c>
      <c r="H264" s="43" t="str">
        <f t="shared" ca="1" si="33"/>
        <v/>
      </c>
      <c r="I264" s="43" t="str">
        <f t="shared" ca="1" si="33"/>
        <v/>
      </c>
      <c r="J264" s="43" t="str">
        <f t="shared" ca="1" si="33"/>
        <v/>
      </c>
      <c r="K264" s="43" t="str">
        <f t="shared" ca="1" si="33"/>
        <v/>
      </c>
      <c r="L264" s="43" t="str">
        <f t="shared" ca="1" si="33"/>
        <v/>
      </c>
      <c r="M264" s="43" t="str">
        <f t="shared" ca="1" si="33"/>
        <v/>
      </c>
      <c r="N264" s="43" t="str">
        <f t="shared" ca="1" si="33"/>
        <v/>
      </c>
      <c r="O264" s="43" t="str">
        <f t="shared" ca="1" si="33"/>
        <v/>
      </c>
      <c r="P264" s="43" t="str">
        <f t="shared" ca="1" si="33"/>
        <v/>
      </c>
      <c r="Q264" s="43" t="str">
        <f t="shared" ca="1" si="33"/>
        <v/>
      </c>
      <c r="R264" s="43" t="str">
        <f t="shared" ca="1" si="33"/>
        <v/>
      </c>
      <c r="S264" s="44" t="str">
        <f t="shared" si="26"/>
        <v/>
      </c>
      <c r="T264" s="43" t="str">
        <f>IF($C264="","",SUMIFS(Overview!$G$18:$G$32,Overview!$D$18:$D$32,"&lt;="&amp;$C264,Overview!$E$18:$E$32,"&gt;="&amp;$C264))</f>
        <v/>
      </c>
      <c r="U264" s="43" t="str">
        <f ca="1">IF(OR($C264="",Overview!$I$33=""),"",IF($C264&gt;Overview!$I$33,"",SUM($S$12:S264)))</f>
        <v/>
      </c>
      <c r="V264" s="43" t="str">
        <f>IF($C264="","",SUM($T$12:T264))</f>
        <v/>
      </c>
      <c r="W264" s="45" t="str">
        <f t="shared" ca="1" si="27"/>
        <v/>
      </c>
    </row>
    <row r="265" spans="3:23" x14ac:dyDescent="0.35">
      <c r="C265" s="42" t="str">
        <f>IF(OR(Overview!$D$33="",Overview!$E$33=""),"",IF(Overview!$D$33+253&gt;Overview!$E$33,"",Overview!$D$33+253))</f>
        <v/>
      </c>
      <c r="D265" s="43" t="str">
        <f t="shared" ca="1" si="33"/>
        <v/>
      </c>
      <c r="E265" s="43" t="str">
        <f t="shared" ca="1" si="33"/>
        <v/>
      </c>
      <c r="F265" s="43" t="str">
        <f t="shared" ca="1" si="33"/>
        <v/>
      </c>
      <c r="G265" s="43" t="str">
        <f t="shared" ca="1" si="33"/>
        <v/>
      </c>
      <c r="H265" s="43" t="str">
        <f t="shared" ca="1" si="33"/>
        <v/>
      </c>
      <c r="I265" s="43" t="str">
        <f t="shared" ca="1" si="33"/>
        <v/>
      </c>
      <c r="J265" s="43" t="str">
        <f t="shared" ca="1" si="33"/>
        <v/>
      </c>
      <c r="K265" s="43" t="str">
        <f t="shared" ca="1" si="33"/>
        <v/>
      </c>
      <c r="L265" s="43" t="str">
        <f t="shared" ca="1" si="33"/>
        <v/>
      </c>
      <c r="M265" s="43" t="str">
        <f t="shared" ca="1" si="33"/>
        <v/>
      </c>
      <c r="N265" s="43" t="str">
        <f t="shared" ca="1" si="33"/>
        <v/>
      </c>
      <c r="O265" s="43" t="str">
        <f t="shared" ca="1" si="33"/>
        <v/>
      </c>
      <c r="P265" s="43" t="str">
        <f t="shared" ca="1" si="33"/>
        <v/>
      </c>
      <c r="Q265" s="43" t="str">
        <f t="shared" ca="1" si="33"/>
        <v/>
      </c>
      <c r="R265" s="43" t="str">
        <f t="shared" ca="1" si="33"/>
        <v/>
      </c>
      <c r="S265" s="44" t="str">
        <f t="shared" si="26"/>
        <v/>
      </c>
      <c r="T265" s="43" t="str">
        <f>IF($C265="","",SUMIFS(Overview!$G$18:$G$32,Overview!$D$18:$D$32,"&lt;="&amp;$C265,Overview!$E$18:$E$32,"&gt;="&amp;$C265))</f>
        <v/>
      </c>
      <c r="U265" s="43" t="str">
        <f ca="1">IF(OR($C265="",Overview!$I$33=""),"",IF($C265&gt;Overview!$I$33,"",SUM($S$12:S265)))</f>
        <v/>
      </c>
      <c r="V265" s="43" t="str">
        <f>IF($C265="","",SUM($T$12:T265))</f>
        <v/>
      </c>
      <c r="W265" s="45" t="str">
        <f t="shared" ca="1" si="27"/>
        <v/>
      </c>
    </row>
    <row r="266" spans="3:23" x14ac:dyDescent="0.35">
      <c r="C266" s="42" t="str">
        <f>IF(OR(Overview!$D$33="",Overview!$E$33=""),"",IF(Overview!$D$33+254&gt;Overview!$E$33,"",Overview!$D$33+254))</f>
        <v/>
      </c>
      <c r="D266" s="43" t="str">
        <f t="shared" ca="1" si="33"/>
        <v/>
      </c>
      <c r="E266" s="43" t="str">
        <f t="shared" ca="1" si="33"/>
        <v/>
      </c>
      <c r="F266" s="43" t="str">
        <f t="shared" ca="1" si="33"/>
        <v/>
      </c>
      <c r="G266" s="43" t="str">
        <f t="shared" ca="1" si="33"/>
        <v/>
      </c>
      <c r="H266" s="43" t="str">
        <f t="shared" ca="1" si="33"/>
        <v/>
      </c>
      <c r="I266" s="43" t="str">
        <f t="shared" ca="1" si="33"/>
        <v/>
      </c>
      <c r="J266" s="43" t="str">
        <f t="shared" ca="1" si="33"/>
        <v/>
      </c>
      <c r="K266" s="43" t="str">
        <f t="shared" ca="1" si="33"/>
        <v/>
      </c>
      <c r="L266" s="43" t="str">
        <f t="shared" ca="1" si="33"/>
        <v/>
      </c>
      <c r="M266" s="43" t="str">
        <f t="shared" ca="1" si="33"/>
        <v/>
      </c>
      <c r="N266" s="43" t="str">
        <f t="shared" ca="1" si="33"/>
        <v/>
      </c>
      <c r="O266" s="43" t="str">
        <f t="shared" ca="1" si="33"/>
        <v/>
      </c>
      <c r="P266" s="43" t="str">
        <f t="shared" ca="1" si="33"/>
        <v/>
      </c>
      <c r="Q266" s="43" t="str">
        <f t="shared" ca="1" si="33"/>
        <v/>
      </c>
      <c r="R266" s="43" t="str">
        <f t="shared" ca="1" si="33"/>
        <v/>
      </c>
      <c r="S266" s="44" t="str">
        <f t="shared" si="26"/>
        <v/>
      </c>
      <c r="T266" s="43" t="str">
        <f>IF($C266="","",SUMIFS(Overview!$G$18:$G$32,Overview!$D$18:$D$32,"&lt;="&amp;$C266,Overview!$E$18:$E$32,"&gt;="&amp;$C266))</f>
        <v/>
      </c>
      <c r="U266" s="43" t="str">
        <f ca="1">IF(OR($C266="",Overview!$I$33=""),"",IF($C266&gt;Overview!$I$33,"",SUM($S$12:S266)))</f>
        <v/>
      </c>
      <c r="V266" s="43" t="str">
        <f>IF($C266="","",SUM($T$12:T266))</f>
        <v/>
      </c>
      <c r="W266" s="45" t="str">
        <f t="shared" ca="1" si="27"/>
        <v/>
      </c>
    </row>
    <row r="267" spans="3:23" x14ac:dyDescent="0.35">
      <c r="C267" s="42" t="str">
        <f>IF(OR(Overview!$D$33="",Overview!$E$33=""),"",IF(Overview!$D$33+255&gt;Overview!$E$33,"",Overview!$D$33+255))</f>
        <v/>
      </c>
      <c r="D267" s="43" t="str">
        <f t="shared" ca="1" si="33"/>
        <v/>
      </c>
      <c r="E267" s="43" t="str">
        <f t="shared" ca="1" si="33"/>
        <v/>
      </c>
      <c r="F267" s="43" t="str">
        <f t="shared" ca="1" si="33"/>
        <v/>
      </c>
      <c r="G267" s="43" t="str">
        <f t="shared" ca="1" si="33"/>
        <v/>
      </c>
      <c r="H267" s="43" t="str">
        <f t="shared" ca="1" si="33"/>
        <v/>
      </c>
      <c r="I267" s="43" t="str">
        <f t="shared" ca="1" si="33"/>
        <v/>
      </c>
      <c r="J267" s="43" t="str">
        <f t="shared" ca="1" si="33"/>
        <v/>
      </c>
      <c r="K267" s="43" t="str">
        <f t="shared" ca="1" si="33"/>
        <v/>
      </c>
      <c r="L267" s="43" t="str">
        <f t="shared" ca="1" si="33"/>
        <v/>
      </c>
      <c r="M267" s="43" t="str">
        <f t="shared" ca="1" si="33"/>
        <v/>
      </c>
      <c r="N267" s="43" t="str">
        <f t="shared" ca="1" si="33"/>
        <v/>
      </c>
      <c r="O267" s="43" t="str">
        <f t="shared" ca="1" si="33"/>
        <v/>
      </c>
      <c r="P267" s="43" t="str">
        <f t="shared" ca="1" si="33"/>
        <v/>
      </c>
      <c r="Q267" s="43" t="str">
        <f t="shared" ca="1" si="33"/>
        <v/>
      </c>
      <c r="R267" s="43" t="str">
        <f t="shared" ca="1" si="33"/>
        <v/>
      </c>
      <c r="S267" s="44" t="str">
        <f t="shared" si="26"/>
        <v/>
      </c>
      <c r="T267" s="43" t="str">
        <f>IF($C267="","",SUMIFS(Overview!$G$18:$G$32,Overview!$D$18:$D$32,"&lt;="&amp;$C267,Overview!$E$18:$E$32,"&gt;="&amp;$C267))</f>
        <v/>
      </c>
      <c r="U267" s="43" t="str">
        <f ca="1">IF(OR($C267="",Overview!$I$33=""),"",IF($C267&gt;Overview!$I$33,"",SUM($S$12:S267)))</f>
        <v/>
      </c>
      <c r="V267" s="43" t="str">
        <f>IF($C267="","",SUM($T$12:T267))</f>
        <v/>
      </c>
      <c r="W267" s="45" t="str">
        <f t="shared" ca="1" si="27"/>
        <v/>
      </c>
    </row>
    <row r="268" spans="3:23" x14ac:dyDescent="0.35">
      <c r="C268" s="42" t="str">
        <f>IF(OR(Overview!$D$33="",Overview!$E$33=""),"",IF(Overview!$D$33+256&gt;Overview!$E$33,"",Overview!$D$33+256))</f>
        <v/>
      </c>
      <c r="D268" s="43" t="str">
        <f t="shared" ca="1" si="33"/>
        <v/>
      </c>
      <c r="E268" s="43" t="str">
        <f t="shared" ca="1" si="33"/>
        <v/>
      </c>
      <c r="F268" s="43" t="str">
        <f t="shared" ca="1" si="33"/>
        <v/>
      </c>
      <c r="G268" s="43" t="str">
        <f t="shared" ca="1" si="33"/>
        <v/>
      </c>
      <c r="H268" s="43" t="str">
        <f t="shared" ca="1" si="33"/>
        <v/>
      </c>
      <c r="I268" s="43" t="str">
        <f t="shared" ca="1" si="33"/>
        <v/>
      </c>
      <c r="J268" s="43" t="str">
        <f t="shared" ca="1" si="33"/>
        <v/>
      </c>
      <c r="K268" s="43" t="str">
        <f t="shared" ca="1" si="33"/>
        <v/>
      </c>
      <c r="L268" s="43" t="str">
        <f t="shared" ca="1" si="33"/>
        <v/>
      </c>
      <c r="M268" s="43" t="str">
        <f t="shared" ca="1" si="33"/>
        <v/>
      </c>
      <c r="N268" s="43" t="str">
        <f t="shared" ca="1" si="33"/>
        <v/>
      </c>
      <c r="O268" s="43" t="str">
        <f t="shared" ca="1" si="33"/>
        <v/>
      </c>
      <c r="P268" s="43" t="str">
        <f t="shared" ca="1" si="33"/>
        <v/>
      </c>
      <c r="Q268" s="43" t="str">
        <f t="shared" ca="1" si="33"/>
        <v/>
      </c>
      <c r="R268" s="43" t="str">
        <f t="shared" ca="1" si="33"/>
        <v/>
      </c>
      <c r="S268" s="44" t="str">
        <f t="shared" ref="S268:S331" si="34">IF($C268="","",SUM(D268:R268))</f>
        <v/>
      </c>
      <c r="T268" s="43" t="str">
        <f>IF($C268="","",SUMIFS(Overview!$G$18:$G$32,Overview!$D$18:$D$32,"&lt;="&amp;$C268,Overview!$E$18:$E$32,"&gt;="&amp;$C268))</f>
        <v/>
      </c>
      <c r="U268" s="43" t="str">
        <f ca="1">IF(OR($C268="",Overview!$I$33=""),"",IF($C268&gt;Overview!$I$33,"",SUM($S$12:S268)))</f>
        <v/>
      </c>
      <c r="V268" s="43" t="str">
        <f>IF($C268="","",SUM($T$12:T268))</f>
        <v/>
      </c>
      <c r="W268" s="45" t="str">
        <f t="shared" ref="W268:W331" ca="1" si="35">IF(OR(U268="",V268="",V268=0),"",U268/V268)</f>
        <v/>
      </c>
    </row>
    <row r="269" spans="3:23" x14ac:dyDescent="0.35">
      <c r="C269" s="42" t="str">
        <f>IF(OR(Overview!$D$33="",Overview!$E$33=""),"",IF(Overview!$D$33+257&gt;Overview!$E$33,"",Overview!$D$33+257))</f>
        <v/>
      </c>
      <c r="D269" s="43" t="str">
        <f t="shared" ca="1" si="33"/>
        <v/>
      </c>
      <c r="E269" s="43" t="str">
        <f t="shared" ca="1" si="33"/>
        <v/>
      </c>
      <c r="F269" s="43" t="str">
        <f t="shared" ca="1" si="33"/>
        <v/>
      </c>
      <c r="G269" s="43" t="str">
        <f t="shared" ca="1" si="33"/>
        <v/>
      </c>
      <c r="H269" s="43" t="str">
        <f t="shared" ca="1" si="33"/>
        <v/>
      </c>
      <c r="I269" s="43" t="str">
        <f t="shared" ca="1" si="33"/>
        <v/>
      </c>
      <c r="J269" s="43" t="str">
        <f t="shared" ca="1" si="33"/>
        <v/>
      </c>
      <c r="K269" s="43" t="str">
        <f t="shared" ca="1" si="33"/>
        <v/>
      </c>
      <c r="L269" s="43" t="str">
        <f t="shared" ca="1" si="33"/>
        <v/>
      </c>
      <c r="M269" s="43" t="str">
        <f t="shared" ca="1" si="33"/>
        <v/>
      </c>
      <c r="N269" s="43" t="str">
        <f t="shared" ca="1" si="33"/>
        <v/>
      </c>
      <c r="O269" s="43" t="str">
        <f t="shared" ca="1" si="33"/>
        <v/>
      </c>
      <c r="P269" s="43" t="str">
        <f t="shared" ca="1" si="33"/>
        <v/>
      </c>
      <c r="Q269" s="43" t="str">
        <f t="shared" ca="1" si="33"/>
        <v/>
      </c>
      <c r="R269" s="43" t="str">
        <f t="shared" ca="1" si="33"/>
        <v/>
      </c>
      <c r="S269" s="44" t="str">
        <f t="shared" si="34"/>
        <v/>
      </c>
      <c r="T269" s="43" t="str">
        <f>IF($C269="","",SUMIFS(Overview!$G$18:$G$32,Overview!$D$18:$D$32,"&lt;="&amp;$C269,Overview!$E$18:$E$32,"&gt;="&amp;$C269))</f>
        <v/>
      </c>
      <c r="U269" s="43" t="str">
        <f ca="1">IF(OR($C269="",Overview!$I$33=""),"",IF($C269&gt;Overview!$I$33,"",SUM($S$12:S269)))</f>
        <v/>
      </c>
      <c r="V269" s="43" t="str">
        <f>IF($C269="","",SUM($T$12:T269))</f>
        <v/>
      </c>
      <c r="W269" s="45" t="str">
        <f t="shared" ca="1" si="35"/>
        <v/>
      </c>
    </row>
    <row r="270" spans="3:23" x14ac:dyDescent="0.35">
      <c r="C270" s="42" t="str">
        <f>IF(OR(Overview!$D$33="",Overview!$E$33=""),"",IF(Overview!$D$33+258&gt;Overview!$E$33,"",Overview!$D$33+258))</f>
        <v/>
      </c>
      <c r="D270" s="43" t="str">
        <f t="shared" ca="1" si="33"/>
        <v/>
      </c>
      <c r="E270" s="43" t="str">
        <f t="shared" ca="1" si="33"/>
        <v/>
      </c>
      <c r="F270" s="43" t="str">
        <f t="shared" ca="1" si="33"/>
        <v/>
      </c>
      <c r="G270" s="43" t="str">
        <f t="shared" ca="1" si="33"/>
        <v/>
      </c>
      <c r="H270" s="43" t="str">
        <f t="shared" ca="1" si="33"/>
        <v/>
      </c>
      <c r="I270" s="43" t="str">
        <f t="shared" ca="1" si="33"/>
        <v/>
      </c>
      <c r="J270" s="43" t="str">
        <f t="shared" ca="1" si="33"/>
        <v/>
      </c>
      <c r="K270" s="43" t="str">
        <f t="shared" ca="1" si="33"/>
        <v/>
      </c>
      <c r="L270" s="43" t="str">
        <f t="shared" ca="1" si="33"/>
        <v/>
      </c>
      <c r="M270" s="43" t="str">
        <f t="shared" ca="1" si="33"/>
        <v/>
      </c>
      <c r="N270" s="43" t="str">
        <f t="shared" ca="1" si="33"/>
        <v/>
      </c>
      <c r="O270" s="43" t="str">
        <f t="shared" ca="1" si="33"/>
        <v/>
      </c>
      <c r="P270" s="43" t="str">
        <f t="shared" ca="1" si="33"/>
        <v/>
      </c>
      <c r="Q270" s="43" t="str">
        <f t="shared" ca="1" si="33"/>
        <v/>
      </c>
      <c r="R270" s="43" t="str">
        <f t="shared" ca="1" si="33"/>
        <v/>
      </c>
      <c r="S270" s="44" t="str">
        <f t="shared" si="34"/>
        <v/>
      </c>
      <c r="T270" s="43" t="str">
        <f>IF($C270="","",SUMIFS(Overview!$G$18:$G$32,Overview!$D$18:$D$32,"&lt;="&amp;$C270,Overview!$E$18:$E$32,"&gt;="&amp;$C270))</f>
        <v/>
      </c>
      <c r="U270" s="43" t="str">
        <f ca="1">IF(OR($C270="",Overview!$I$33=""),"",IF($C270&gt;Overview!$I$33,"",SUM($S$12:S270)))</f>
        <v/>
      </c>
      <c r="V270" s="43" t="str">
        <f>IF($C270="","",SUM($T$12:T270))</f>
        <v/>
      </c>
      <c r="W270" s="45" t="str">
        <f t="shared" ca="1" si="35"/>
        <v/>
      </c>
    </row>
    <row r="271" spans="3:23" x14ac:dyDescent="0.35">
      <c r="C271" s="42" t="str">
        <f>IF(OR(Overview!$D$33="",Overview!$E$33=""),"",IF(Overview!$D$33+259&gt;Overview!$E$33,"",Overview!$D$33+259))</f>
        <v/>
      </c>
      <c r="D271" s="43" t="str">
        <f t="shared" ca="1" si="33"/>
        <v/>
      </c>
      <c r="E271" s="43" t="str">
        <f t="shared" ca="1" si="33"/>
        <v/>
      </c>
      <c r="F271" s="43" t="str">
        <f t="shared" ca="1" si="33"/>
        <v/>
      </c>
      <c r="G271" s="43" t="str">
        <f t="shared" ca="1" si="33"/>
        <v/>
      </c>
      <c r="H271" s="43" t="str">
        <f t="shared" ca="1" si="33"/>
        <v/>
      </c>
      <c r="I271" s="43" t="str">
        <f t="shared" ca="1" si="33"/>
        <v/>
      </c>
      <c r="J271" s="43" t="str">
        <f t="shared" ca="1" si="33"/>
        <v/>
      </c>
      <c r="K271" s="43" t="str">
        <f t="shared" ca="1" si="33"/>
        <v/>
      </c>
      <c r="L271" s="43" t="str">
        <f t="shared" ca="1" si="33"/>
        <v/>
      </c>
      <c r="M271" s="43" t="str">
        <f t="shared" ca="1" si="33"/>
        <v/>
      </c>
      <c r="N271" s="43" t="str">
        <f t="shared" ca="1" si="33"/>
        <v/>
      </c>
      <c r="O271" s="43" t="str">
        <f t="shared" ca="1" si="33"/>
        <v/>
      </c>
      <c r="P271" s="43" t="str">
        <f t="shared" ca="1" si="33"/>
        <v/>
      </c>
      <c r="Q271" s="43" t="str">
        <f t="shared" ca="1" si="33"/>
        <v/>
      </c>
      <c r="R271" s="43" t="str">
        <f t="shared" ca="1" si="33"/>
        <v/>
      </c>
      <c r="S271" s="44" t="str">
        <f t="shared" si="34"/>
        <v/>
      </c>
      <c r="T271" s="43" t="str">
        <f>IF($C271="","",SUMIFS(Overview!$G$18:$G$32,Overview!$D$18:$D$32,"&lt;="&amp;$C271,Overview!$E$18:$E$32,"&gt;="&amp;$C271))</f>
        <v/>
      </c>
      <c r="U271" s="43" t="str">
        <f ca="1">IF(OR($C271="",Overview!$I$33=""),"",IF($C271&gt;Overview!$I$33,"",SUM($S$12:S271)))</f>
        <v/>
      </c>
      <c r="V271" s="43" t="str">
        <f>IF($C271="","",SUM($T$12:T271))</f>
        <v/>
      </c>
      <c r="W271" s="45" t="str">
        <f t="shared" ca="1" si="35"/>
        <v/>
      </c>
    </row>
    <row r="272" spans="3:23" x14ac:dyDescent="0.35">
      <c r="C272" s="42" t="str">
        <f>IF(OR(Overview!$D$33="",Overview!$E$33=""),"",IF(Overview!$D$33+260&gt;Overview!$E$33,"",Overview!$D$33+260))</f>
        <v/>
      </c>
      <c r="D272" s="43" t="str">
        <f t="shared" ref="D272:R281" ca="1" si="36">IF(OR($C272="",D$11=""),"",IFERROR(SUMIFS(INDIRECT("'"&amp;D$11&amp;"'!$F$14:$F$10013"),INDIRECT("'"&amp;D$11&amp;"'!$C$14:$C$10013"),$C272),""))</f>
        <v/>
      </c>
      <c r="E272" s="43" t="str">
        <f t="shared" ca="1" si="36"/>
        <v/>
      </c>
      <c r="F272" s="43" t="str">
        <f t="shared" ca="1" si="36"/>
        <v/>
      </c>
      <c r="G272" s="43" t="str">
        <f t="shared" ca="1" si="36"/>
        <v/>
      </c>
      <c r="H272" s="43" t="str">
        <f t="shared" ca="1" si="36"/>
        <v/>
      </c>
      <c r="I272" s="43" t="str">
        <f t="shared" ca="1" si="36"/>
        <v/>
      </c>
      <c r="J272" s="43" t="str">
        <f t="shared" ca="1" si="36"/>
        <v/>
      </c>
      <c r="K272" s="43" t="str">
        <f t="shared" ca="1" si="36"/>
        <v/>
      </c>
      <c r="L272" s="43" t="str">
        <f t="shared" ca="1" si="36"/>
        <v/>
      </c>
      <c r="M272" s="43" t="str">
        <f t="shared" ca="1" si="36"/>
        <v/>
      </c>
      <c r="N272" s="43" t="str">
        <f t="shared" ca="1" si="36"/>
        <v/>
      </c>
      <c r="O272" s="43" t="str">
        <f t="shared" ca="1" si="36"/>
        <v/>
      </c>
      <c r="P272" s="43" t="str">
        <f t="shared" ca="1" si="36"/>
        <v/>
      </c>
      <c r="Q272" s="43" t="str">
        <f t="shared" ca="1" si="36"/>
        <v/>
      </c>
      <c r="R272" s="43" t="str">
        <f t="shared" ca="1" si="36"/>
        <v/>
      </c>
      <c r="S272" s="44" t="str">
        <f t="shared" si="34"/>
        <v/>
      </c>
      <c r="T272" s="43" t="str">
        <f>IF($C272="","",SUMIFS(Overview!$G$18:$G$32,Overview!$D$18:$D$32,"&lt;="&amp;$C272,Overview!$E$18:$E$32,"&gt;="&amp;$C272))</f>
        <v/>
      </c>
      <c r="U272" s="43" t="str">
        <f ca="1">IF(OR($C272="",Overview!$I$33=""),"",IF($C272&gt;Overview!$I$33,"",SUM($S$12:S272)))</f>
        <v/>
      </c>
      <c r="V272" s="43" t="str">
        <f>IF($C272="","",SUM($T$12:T272))</f>
        <v/>
      </c>
      <c r="W272" s="45" t="str">
        <f t="shared" ca="1" si="35"/>
        <v/>
      </c>
    </row>
    <row r="273" spans="3:23" x14ac:dyDescent="0.35">
      <c r="C273" s="42" t="str">
        <f>IF(OR(Overview!$D$33="",Overview!$E$33=""),"",IF(Overview!$D$33+261&gt;Overview!$E$33,"",Overview!$D$33+261))</f>
        <v/>
      </c>
      <c r="D273" s="43" t="str">
        <f t="shared" ca="1" si="36"/>
        <v/>
      </c>
      <c r="E273" s="43" t="str">
        <f t="shared" ca="1" si="36"/>
        <v/>
      </c>
      <c r="F273" s="43" t="str">
        <f t="shared" ca="1" si="36"/>
        <v/>
      </c>
      <c r="G273" s="43" t="str">
        <f t="shared" ca="1" si="36"/>
        <v/>
      </c>
      <c r="H273" s="43" t="str">
        <f t="shared" ca="1" si="36"/>
        <v/>
      </c>
      <c r="I273" s="43" t="str">
        <f t="shared" ca="1" si="36"/>
        <v/>
      </c>
      <c r="J273" s="43" t="str">
        <f t="shared" ca="1" si="36"/>
        <v/>
      </c>
      <c r="K273" s="43" t="str">
        <f t="shared" ca="1" si="36"/>
        <v/>
      </c>
      <c r="L273" s="43" t="str">
        <f t="shared" ca="1" si="36"/>
        <v/>
      </c>
      <c r="M273" s="43" t="str">
        <f t="shared" ca="1" si="36"/>
        <v/>
      </c>
      <c r="N273" s="43" t="str">
        <f t="shared" ca="1" si="36"/>
        <v/>
      </c>
      <c r="O273" s="43" t="str">
        <f t="shared" ca="1" si="36"/>
        <v/>
      </c>
      <c r="P273" s="43" t="str">
        <f t="shared" ca="1" si="36"/>
        <v/>
      </c>
      <c r="Q273" s="43" t="str">
        <f t="shared" ca="1" si="36"/>
        <v/>
      </c>
      <c r="R273" s="43" t="str">
        <f t="shared" ca="1" si="36"/>
        <v/>
      </c>
      <c r="S273" s="44" t="str">
        <f t="shared" si="34"/>
        <v/>
      </c>
      <c r="T273" s="43" t="str">
        <f>IF($C273="","",SUMIFS(Overview!$G$18:$G$32,Overview!$D$18:$D$32,"&lt;="&amp;$C273,Overview!$E$18:$E$32,"&gt;="&amp;$C273))</f>
        <v/>
      </c>
      <c r="U273" s="43" t="str">
        <f ca="1">IF(OR($C273="",Overview!$I$33=""),"",IF($C273&gt;Overview!$I$33,"",SUM($S$12:S273)))</f>
        <v/>
      </c>
      <c r="V273" s="43" t="str">
        <f>IF($C273="","",SUM($T$12:T273))</f>
        <v/>
      </c>
      <c r="W273" s="45" t="str">
        <f t="shared" ca="1" si="35"/>
        <v/>
      </c>
    </row>
    <row r="274" spans="3:23" x14ac:dyDescent="0.35">
      <c r="C274" s="42" t="str">
        <f>IF(OR(Overview!$D$33="",Overview!$E$33=""),"",IF(Overview!$D$33+262&gt;Overview!$E$33,"",Overview!$D$33+262))</f>
        <v/>
      </c>
      <c r="D274" s="43" t="str">
        <f t="shared" ca="1" si="36"/>
        <v/>
      </c>
      <c r="E274" s="43" t="str">
        <f t="shared" ca="1" si="36"/>
        <v/>
      </c>
      <c r="F274" s="43" t="str">
        <f t="shared" ca="1" si="36"/>
        <v/>
      </c>
      <c r="G274" s="43" t="str">
        <f t="shared" ca="1" si="36"/>
        <v/>
      </c>
      <c r="H274" s="43" t="str">
        <f t="shared" ca="1" si="36"/>
        <v/>
      </c>
      <c r="I274" s="43" t="str">
        <f t="shared" ca="1" si="36"/>
        <v/>
      </c>
      <c r="J274" s="43" t="str">
        <f t="shared" ca="1" si="36"/>
        <v/>
      </c>
      <c r="K274" s="43" t="str">
        <f t="shared" ca="1" si="36"/>
        <v/>
      </c>
      <c r="L274" s="43" t="str">
        <f t="shared" ca="1" si="36"/>
        <v/>
      </c>
      <c r="M274" s="43" t="str">
        <f t="shared" ca="1" si="36"/>
        <v/>
      </c>
      <c r="N274" s="43" t="str">
        <f t="shared" ca="1" si="36"/>
        <v/>
      </c>
      <c r="O274" s="43" t="str">
        <f t="shared" ca="1" si="36"/>
        <v/>
      </c>
      <c r="P274" s="43" t="str">
        <f t="shared" ca="1" si="36"/>
        <v/>
      </c>
      <c r="Q274" s="43" t="str">
        <f t="shared" ca="1" si="36"/>
        <v/>
      </c>
      <c r="R274" s="43" t="str">
        <f t="shared" ca="1" si="36"/>
        <v/>
      </c>
      <c r="S274" s="44" t="str">
        <f t="shared" si="34"/>
        <v/>
      </c>
      <c r="T274" s="43" t="str">
        <f>IF($C274="","",SUMIFS(Overview!$G$18:$G$32,Overview!$D$18:$D$32,"&lt;="&amp;$C274,Overview!$E$18:$E$32,"&gt;="&amp;$C274))</f>
        <v/>
      </c>
      <c r="U274" s="43" t="str">
        <f ca="1">IF(OR($C274="",Overview!$I$33=""),"",IF($C274&gt;Overview!$I$33,"",SUM($S$12:S274)))</f>
        <v/>
      </c>
      <c r="V274" s="43" t="str">
        <f>IF($C274="","",SUM($T$12:T274))</f>
        <v/>
      </c>
      <c r="W274" s="45" t="str">
        <f t="shared" ca="1" si="35"/>
        <v/>
      </c>
    </row>
    <row r="275" spans="3:23" x14ac:dyDescent="0.35">
      <c r="C275" s="42" t="str">
        <f>IF(OR(Overview!$D$33="",Overview!$E$33=""),"",IF(Overview!$D$33+263&gt;Overview!$E$33,"",Overview!$D$33+263))</f>
        <v/>
      </c>
      <c r="D275" s="43" t="str">
        <f t="shared" ca="1" si="36"/>
        <v/>
      </c>
      <c r="E275" s="43" t="str">
        <f t="shared" ca="1" si="36"/>
        <v/>
      </c>
      <c r="F275" s="43" t="str">
        <f t="shared" ca="1" si="36"/>
        <v/>
      </c>
      <c r="G275" s="43" t="str">
        <f t="shared" ca="1" si="36"/>
        <v/>
      </c>
      <c r="H275" s="43" t="str">
        <f t="shared" ca="1" si="36"/>
        <v/>
      </c>
      <c r="I275" s="43" t="str">
        <f t="shared" ca="1" si="36"/>
        <v/>
      </c>
      <c r="J275" s="43" t="str">
        <f t="shared" ca="1" si="36"/>
        <v/>
      </c>
      <c r="K275" s="43" t="str">
        <f t="shared" ca="1" si="36"/>
        <v/>
      </c>
      <c r="L275" s="43" t="str">
        <f t="shared" ca="1" si="36"/>
        <v/>
      </c>
      <c r="M275" s="43" t="str">
        <f t="shared" ca="1" si="36"/>
        <v/>
      </c>
      <c r="N275" s="43" t="str">
        <f t="shared" ca="1" si="36"/>
        <v/>
      </c>
      <c r="O275" s="43" t="str">
        <f t="shared" ca="1" si="36"/>
        <v/>
      </c>
      <c r="P275" s="43" t="str">
        <f t="shared" ca="1" si="36"/>
        <v/>
      </c>
      <c r="Q275" s="43" t="str">
        <f t="shared" ca="1" si="36"/>
        <v/>
      </c>
      <c r="R275" s="43" t="str">
        <f t="shared" ca="1" si="36"/>
        <v/>
      </c>
      <c r="S275" s="44" t="str">
        <f t="shared" si="34"/>
        <v/>
      </c>
      <c r="T275" s="43" t="str">
        <f>IF($C275="","",SUMIFS(Overview!$G$18:$G$32,Overview!$D$18:$D$32,"&lt;="&amp;$C275,Overview!$E$18:$E$32,"&gt;="&amp;$C275))</f>
        <v/>
      </c>
      <c r="U275" s="43" t="str">
        <f ca="1">IF(OR($C275="",Overview!$I$33=""),"",IF($C275&gt;Overview!$I$33,"",SUM($S$12:S275)))</f>
        <v/>
      </c>
      <c r="V275" s="43" t="str">
        <f>IF($C275="","",SUM($T$12:T275))</f>
        <v/>
      </c>
      <c r="W275" s="45" t="str">
        <f t="shared" ca="1" si="35"/>
        <v/>
      </c>
    </row>
    <row r="276" spans="3:23" x14ac:dyDescent="0.35">
      <c r="C276" s="42" t="str">
        <f>IF(OR(Overview!$D$33="",Overview!$E$33=""),"",IF(Overview!$D$33+264&gt;Overview!$E$33,"",Overview!$D$33+264))</f>
        <v/>
      </c>
      <c r="D276" s="43" t="str">
        <f t="shared" ca="1" si="36"/>
        <v/>
      </c>
      <c r="E276" s="43" t="str">
        <f t="shared" ca="1" si="36"/>
        <v/>
      </c>
      <c r="F276" s="43" t="str">
        <f t="shared" ca="1" si="36"/>
        <v/>
      </c>
      <c r="G276" s="43" t="str">
        <f t="shared" ca="1" si="36"/>
        <v/>
      </c>
      <c r="H276" s="43" t="str">
        <f t="shared" ca="1" si="36"/>
        <v/>
      </c>
      <c r="I276" s="43" t="str">
        <f t="shared" ca="1" si="36"/>
        <v/>
      </c>
      <c r="J276" s="43" t="str">
        <f t="shared" ca="1" si="36"/>
        <v/>
      </c>
      <c r="K276" s="43" t="str">
        <f t="shared" ca="1" si="36"/>
        <v/>
      </c>
      <c r="L276" s="43" t="str">
        <f t="shared" ca="1" si="36"/>
        <v/>
      </c>
      <c r="M276" s="43" t="str">
        <f t="shared" ca="1" si="36"/>
        <v/>
      </c>
      <c r="N276" s="43" t="str">
        <f t="shared" ca="1" si="36"/>
        <v/>
      </c>
      <c r="O276" s="43" t="str">
        <f t="shared" ca="1" si="36"/>
        <v/>
      </c>
      <c r="P276" s="43" t="str">
        <f t="shared" ca="1" si="36"/>
        <v/>
      </c>
      <c r="Q276" s="43" t="str">
        <f t="shared" ca="1" si="36"/>
        <v/>
      </c>
      <c r="R276" s="43" t="str">
        <f t="shared" ca="1" si="36"/>
        <v/>
      </c>
      <c r="S276" s="44" t="str">
        <f t="shared" si="34"/>
        <v/>
      </c>
      <c r="T276" s="43" t="str">
        <f>IF($C276="","",SUMIFS(Overview!$G$18:$G$32,Overview!$D$18:$D$32,"&lt;="&amp;$C276,Overview!$E$18:$E$32,"&gt;="&amp;$C276))</f>
        <v/>
      </c>
      <c r="U276" s="43" t="str">
        <f ca="1">IF(OR($C276="",Overview!$I$33=""),"",IF($C276&gt;Overview!$I$33,"",SUM($S$12:S276)))</f>
        <v/>
      </c>
      <c r="V276" s="43" t="str">
        <f>IF($C276="","",SUM($T$12:T276))</f>
        <v/>
      </c>
      <c r="W276" s="45" t="str">
        <f t="shared" ca="1" si="35"/>
        <v/>
      </c>
    </row>
    <row r="277" spans="3:23" x14ac:dyDescent="0.35">
      <c r="C277" s="42" t="str">
        <f>IF(OR(Overview!$D$33="",Overview!$E$33=""),"",IF(Overview!$D$33+265&gt;Overview!$E$33,"",Overview!$D$33+265))</f>
        <v/>
      </c>
      <c r="D277" s="43" t="str">
        <f t="shared" ca="1" si="36"/>
        <v/>
      </c>
      <c r="E277" s="43" t="str">
        <f t="shared" ca="1" si="36"/>
        <v/>
      </c>
      <c r="F277" s="43" t="str">
        <f t="shared" ca="1" si="36"/>
        <v/>
      </c>
      <c r="G277" s="43" t="str">
        <f t="shared" ca="1" si="36"/>
        <v/>
      </c>
      <c r="H277" s="43" t="str">
        <f t="shared" ca="1" si="36"/>
        <v/>
      </c>
      <c r="I277" s="43" t="str">
        <f t="shared" ca="1" si="36"/>
        <v/>
      </c>
      <c r="J277" s="43" t="str">
        <f t="shared" ca="1" si="36"/>
        <v/>
      </c>
      <c r="K277" s="43" t="str">
        <f t="shared" ca="1" si="36"/>
        <v/>
      </c>
      <c r="L277" s="43" t="str">
        <f t="shared" ca="1" si="36"/>
        <v/>
      </c>
      <c r="M277" s="43" t="str">
        <f t="shared" ca="1" si="36"/>
        <v/>
      </c>
      <c r="N277" s="43" t="str">
        <f t="shared" ca="1" si="36"/>
        <v/>
      </c>
      <c r="O277" s="43" t="str">
        <f t="shared" ca="1" si="36"/>
        <v/>
      </c>
      <c r="P277" s="43" t="str">
        <f t="shared" ca="1" si="36"/>
        <v/>
      </c>
      <c r="Q277" s="43" t="str">
        <f t="shared" ca="1" si="36"/>
        <v/>
      </c>
      <c r="R277" s="43" t="str">
        <f t="shared" ca="1" si="36"/>
        <v/>
      </c>
      <c r="S277" s="44" t="str">
        <f t="shared" si="34"/>
        <v/>
      </c>
      <c r="T277" s="43" t="str">
        <f>IF($C277="","",SUMIFS(Overview!$G$18:$G$32,Overview!$D$18:$D$32,"&lt;="&amp;$C277,Overview!$E$18:$E$32,"&gt;="&amp;$C277))</f>
        <v/>
      </c>
      <c r="U277" s="43" t="str">
        <f ca="1">IF(OR($C277="",Overview!$I$33=""),"",IF($C277&gt;Overview!$I$33,"",SUM($S$12:S277)))</f>
        <v/>
      </c>
      <c r="V277" s="43" t="str">
        <f>IF($C277="","",SUM($T$12:T277))</f>
        <v/>
      </c>
      <c r="W277" s="45" t="str">
        <f t="shared" ca="1" si="35"/>
        <v/>
      </c>
    </row>
    <row r="278" spans="3:23" x14ac:dyDescent="0.35">
      <c r="C278" s="42" t="str">
        <f>IF(OR(Overview!$D$33="",Overview!$E$33=""),"",IF(Overview!$D$33+266&gt;Overview!$E$33,"",Overview!$D$33+266))</f>
        <v/>
      </c>
      <c r="D278" s="43" t="str">
        <f t="shared" ca="1" si="36"/>
        <v/>
      </c>
      <c r="E278" s="43" t="str">
        <f t="shared" ca="1" si="36"/>
        <v/>
      </c>
      <c r="F278" s="43" t="str">
        <f t="shared" ca="1" si="36"/>
        <v/>
      </c>
      <c r="G278" s="43" t="str">
        <f t="shared" ca="1" si="36"/>
        <v/>
      </c>
      <c r="H278" s="43" t="str">
        <f t="shared" ca="1" si="36"/>
        <v/>
      </c>
      <c r="I278" s="43" t="str">
        <f t="shared" ca="1" si="36"/>
        <v/>
      </c>
      <c r="J278" s="43" t="str">
        <f t="shared" ca="1" si="36"/>
        <v/>
      </c>
      <c r="K278" s="43" t="str">
        <f t="shared" ca="1" si="36"/>
        <v/>
      </c>
      <c r="L278" s="43" t="str">
        <f t="shared" ca="1" si="36"/>
        <v/>
      </c>
      <c r="M278" s="43" t="str">
        <f t="shared" ca="1" si="36"/>
        <v/>
      </c>
      <c r="N278" s="43" t="str">
        <f t="shared" ca="1" si="36"/>
        <v/>
      </c>
      <c r="O278" s="43" t="str">
        <f t="shared" ca="1" si="36"/>
        <v/>
      </c>
      <c r="P278" s="43" t="str">
        <f t="shared" ca="1" si="36"/>
        <v/>
      </c>
      <c r="Q278" s="43" t="str">
        <f t="shared" ca="1" si="36"/>
        <v/>
      </c>
      <c r="R278" s="43" t="str">
        <f t="shared" ca="1" si="36"/>
        <v/>
      </c>
      <c r="S278" s="44" t="str">
        <f t="shared" si="34"/>
        <v/>
      </c>
      <c r="T278" s="43" t="str">
        <f>IF($C278="","",SUMIFS(Overview!$G$18:$G$32,Overview!$D$18:$D$32,"&lt;="&amp;$C278,Overview!$E$18:$E$32,"&gt;="&amp;$C278))</f>
        <v/>
      </c>
      <c r="U278" s="43" t="str">
        <f ca="1">IF(OR($C278="",Overview!$I$33=""),"",IF($C278&gt;Overview!$I$33,"",SUM($S$12:S278)))</f>
        <v/>
      </c>
      <c r="V278" s="43" t="str">
        <f>IF($C278="","",SUM($T$12:T278))</f>
        <v/>
      </c>
      <c r="W278" s="45" t="str">
        <f t="shared" ca="1" si="35"/>
        <v/>
      </c>
    </row>
    <row r="279" spans="3:23" x14ac:dyDescent="0.35">
      <c r="C279" s="42" t="str">
        <f>IF(OR(Overview!$D$33="",Overview!$E$33=""),"",IF(Overview!$D$33+267&gt;Overview!$E$33,"",Overview!$D$33+267))</f>
        <v/>
      </c>
      <c r="D279" s="43" t="str">
        <f t="shared" ca="1" si="36"/>
        <v/>
      </c>
      <c r="E279" s="43" t="str">
        <f t="shared" ca="1" si="36"/>
        <v/>
      </c>
      <c r="F279" s="43" t="str">
        <f t="shared" ca="1" si="36"/>
        <v/>
      </c>
      <c r="G279" s="43" t="str">
        <f t="shared" ca="1" si="36"/>
        <v/>
      </c>
      <c r="H279" s="43" t="str">
        <f t="shared" ca="1" si="36"/>
        <v/>
      </c>
      <c r="I279" s="43" t="str">
        <f t="shared" ca="1" si="36"/>
        <v/>
      </c>
      <c r="J279" s="43" t="str">
        <f t="shared" ca="1" si="36"/>
        <v/>
      </c>
      <c r="K279" s="43" t="str">
        <f t="shared" ca="1" si="36"/>
        <v/>
      </c>
      <c r="L279" s="43" t="str">
        <f t="shared" ca="1" si="36"/>
        <v/>
      </c>
      <c r="M279" s="43" t="str">
        <f t="shared" ca="1" si="36"/>
        <v/>
      </c>
      <c r="N279" s="43" t="str">
        <f t="shared" ca="1" si="36"/>
        <v/>
      </c>
      <c r="O279" s="43" t="str">
        <f t="shared" ca="1" si="36"/>
        <v/>
      </c>
      <c r="P279" s="43" t="str">
        <f t="shared" ca="1" si="36"/>
        <v/>
      </c>
      <c r="Q279" s="43" t="str">
        <f t="shared" ca="1" si="36"/>
        <v/>
      </c>
      <c r="R279" s="43" t="str">
        <f t="shared" ca="1" si="36"/>
        <v/>
      </c>
      <c r="S279" s="44" t="str">
        <f t="shared" si="34"/>
        <v/>
      </c>
      <c r="T279" s="43" t="str">
        <f>IF($C279="","",SUMIFS(Overview!$G$18:$G$32,Overview!$D$18:$D$32,"&lt;="&amp;$C279,Overview!$E$18:$E$32,"&gt;="&amp;$C279))</f>
        <v/>
      </c>
      <c r="U279" s="43" t="str">
        <f ca="1">IF(OR($C279="",Overview!$I$33=""),"",IF($C279&gt;Overview!$I$33,"",SUM($S$12:S279)))</f>
        <v/>
      </c>
      <c r="V279" s="43" t="str">
        <f>IF($C279="","",SUM($T$12:T279))</f>
        <v/>
      </c>
      <c r="W279" s="45" t="str">
        <f t="shared" ca="1" si="35"/>
        <v/>
      </c>
    </row>
    <row r="280" spans="3:23" x14ac:dyDescent="0.35">
      <c r="C280" s="42" t="str">
        <f>IF(OR(Overview!$D$33="",Overview!$E$33=""),"",IF(Overview!$D$33+268&gt;Overview!$E$33,"",Overview!$D$33+268))</f>
        <v/>
      </c>
      <c r="D280" s="43" t="str">
        <f t="shared" ca="1" si="36"/>
        <v/>
      </c>
      <c r="E280" s="43" t="str">
        <f t="shared" ca="1" si="36"/>
        <v/>
      </c>
      <c r="F280" s="43" t="str">
        <f t="shared" ca="1" si="36"/>
        <v/>
      </c>
      <c r="G280" s="43" t="str">
        <f t="shared" ca="1" si="36"/>
        <v/>
      </c>
      <c r="H280" s="43" t="str">
        <f t="shared" ca="1" si="36"/>
        <v/>
      </c>
      <c r="I280" s="43" t="str">
        <f t="shared" ca="1" si="36"/>
        <v/>
      </c>
      <c r="J280" s="43" t="str">
        <f t="shared" ca="1" si="36"/>
        <v/>
      </c>
      <c r="K280" s="43" t="str">
        <f t="shared" ca="1" si="36"/>
        <v/>
      </c>
      <c r="L280" s="43" t="str">
        <f t="shared" ca="1" si="36"/>
        <v/>
      </c>
      <c r="M280" s="43" t="str">
        <f t="shared" ca="1" si="36"/>
        <v/>
      </c>
      <c r="N280" s="43" t="str">
        <f t="shared" ca="1" si="36"/>
        <v/>
      </c>
      <c r="O280" s="43" t="str">
        <f t="shared" ca="1" si="36"/>
        <v/>
      </c>
      <c r="P280" s="43" t="str">
        <f t="shared" ca="1" si="36"/>
        <v/>
      </c>
      <c r="Q280" s="43" t="str">
        <f t="shared" ca="1" si="36"/>
        <v/>
      </c>
      <c r="R280" s="43" t="str">
        <f t="shared" ca="1" si="36"/>
        <v/>
      </c>
      <c r="S280" s="44" t="str">
        <f t="shared" si="34"/>
        <v/>
      </c>
      <c r="T280" s="43" t="str">
        <f>IF($C280="","",SUMIFS(Overview!$G$18:$G$32,Overview!$D$18:$D$32,"&lt;="&amp;$C280,Overview!$E$18:$E$32,"&gt;="&amp;$C280))</f>
        <v/>
      </c>
      <c r="U280" s="43" t="str">
        <f ca="1">IF(OR($C280="",Overview!$I$33=""),"",IF($C280&gt;Overview!$I$33,"",SUM($S$12:S280)))</f>
        <v/>
      </c>
      <c r="V280" s="43" t="str">
        <f>IF($C280="","",SUM($T$12:T280))</f>
        <v/>
      </c>
      <c r="W280" s="45" t="str">
        <f t="shared" ca="1" si="35"/>
        <v/>
      </c>
    </row>
    <row r="281" spans="3:23" x14ac:dyDescent="0.35">
      <c r="C281" s="42" t="str">
        <f>IF(OR(Overview!$D$33="",Overview!$E$33=""),"",IF(Overview!$D$33+269&gt;Overview!$E$33,"",Overview!$D$33+269))</f>
        <v/>
      </c>
      <c r="D281" s="43" t="str">
        <f t="shared" ca="1" si="36"/>
        <v/>
      </c>
      <c r="E281" s="43" t="str">
        <f t="shared" ca="1" si="36"/>
        <v/>
      </c>
      <c r="F281" s="43" t="str">
        <f t="shared" ca="1" si="36"/>
        <v/>
      </c>
      <c r="G281" s="43" t="str">
        <f t="shared" ca="1" si="36"/>
        <v/>
      </c>
      <c r="H281" s="43" t="str">
        <f t="shared" ca="1" si="36"/>
        <v/>
      </c>
      <c r="I281" s="43" t="str">
        <f t="shared" ca="1" si="36"/>
        <v/>
      </c>
      <c r="J281" s="43" t="str">
        <f t="shared" ca="1" si="36"/>
        <v/>
      </c>
      <c r="K281" s="43" t="str">
        <f t="shared" ca="1" si="36"/>
        <v/>
      </c>
      <c r="L281" s="43" t="str">
        <f t="shared" ca="1" si="36"/>
        <v/>
      </c>
      <c r="M281" s="43" t="str">
        <f t="shared" ca="1" si="36"/>
        <v/>
      </c>
      <c r="N281" s="43" t="str">
        <f t="shared" ca="1" si="36"/>
        <v/>
      </c>
      <c r="O281" s="43" t="str">
        <f t="shared" ca="1" si="36"/>
        <v/>
      </c>
      <c r="P281" s="43" t="str">
        <f t="shared" ca="1" si="36"/>
        <v/>
      </c>
      <c r="Q281" s="43" t="str">
        <f t="shared" ca="1" si="36"/>
        <v/>
      </c>
      <c r="R281" s="43" t="str">
        <f t="shared" ca="1" si="36"/>
        <v/>
      </c>
      <c r="S281" s="44" t="str">
        <f t="shared" si="34"/>
        <v/>
      </c>
      <c r="T281" s="43" t="str">
        <f>IF($C281="","",SUMIFS(Overview!$G$18:$G$32,Overview!$D$18:$D$32,"&lt;="&amp;$C281,Overview!$E$18:$E$32,"&gt;="&amp;$C281))</f>
        <v/>
      </c>
      <c r="U281" s="43" t="str">
        <f ca="1">IF(OR($C281="",Overview!$I$33=""),"",IF($C281&gt;Overview!$I$33,"",SUM($S$12:S281)))</f>
        <v/>
      </c>
      <c r="V281" s="43" t="str">
        <f>IF($C281="","",SUM($T$12:T281))</f>
        <v/>
      </c>
      <c r="W281" s="45" t="str">
        <f t="shared" ca="1" si="35"/>
        <v/>
      </c>
    </row>
    <row r="282" spans="3:23" x14ac:dyDescent="0.35">
      <c r="C282" s="42" t="str">
        <f>IF(OR(Overview!$D$33="",Overview!$E$33=""),"",IF(Overview!$D$33+270&gt;Overview!$E$33,"",Overview!$D$33+270))</f>
        <v/>
      </c>
      <c r="D282" s="43" t="str">
        <f t="shared" ref="D282:R291" ca="1" si="37">IF(OR($C282="",D$11=""),"",IFERROR(SUMIFS(INDIRECT("'"&amp;D$11&amp;"'!$F$14:$F$10013"),INDIRECT("'"&amp;D$11&amp;"'!$C$14:$C$10013"),$C282),""))</f>
        <v/>
      </c>
      <c r="E282" s="43" t="str">
        <f t="shared" ca="1" si="37"/>
        <v/>
      </c>
      <c r="F282" s="43" t="str">
        <f t="shared" ca="1" si="37"/>
        <v/>
      </c>
      <c r="G282" s="43" t="str">
        <f t="shared" ca="1" si="37"/>
        <v/>
      </c>
      <c r="H282" s="43" t="str">
        <f t="shared" ca="1" si="37"/>
        <v/>
      </c>
      <c r="I282" s="43" t="str">
        <f t="shared" ca="1" si="37"/>
        <v/>
      </c>
      <c r="J282" s="43" t="str">
        <f t="shared" ca="1" si="37"/>
        <v/>
      </c>
      <c r="K282" s="43" t="str">
        <f t="shared" ca="1" si="37"/>
        <v/>
      </c>
      <c r="L282" s="43" t="str">
        <f t="shared" ca="1" si="37"/>
        <v/>
      </c>
      <c r="M282" s="43" t="str">
        <f t="shared" ca="1" si="37"/>
        <v/>
      </c>
      <c r="N282" s="43" t="str">
        <f t="shared" ca="1" si="37"/>
        <v/>
      </c>
      <c r="O282" s="43" t="str">
        <f t="shared" ca="1" si="37"/>
        <v/>
      </c>
      <c r="P282" s="43" t="str">
        <f t="shared" ca="1" si="37"/>
        <v/>
      </c>
      <c r="Q282" s="43" t="str">
        <f t="shared" ca="1" si="37"/>
        <v/>
      </c>
      <c r="R282" s="43" t="str">
        <f t="shared" ca="1" si="37"/>
        <v/>
      </c>
      <c r="S282" s="44" t="str">
        <f t="shared" si="34"/>
        <v/>
      </c>
      <c r="T282" s="43" t="str">
        <f>IF($C282="","",SUMIFS(Overview!$G$18:$G$32,Overview!$D$18:$D$32,"&lt;="&amp;$C282,Overview!$E$18:$E$32,"&gt;="&amp;$C282))</f>
        <v/>
      </c>
      <c r="U282" s="43" t="str">
        <f ca="1">IF(OR($C282="",Overview!$I$33=""),"",IF($C282&gt;Overview!$I$33,"",SUM($S$12:S282)))</f>
        <v/>
      </c>
      <c r="V282" s="43" t="str">
        <f>IF($C282="","",SUM($T$12:T282))</f>
        <v/>
      </c>
      <c r="W282" s="45" t="str">
        <f t="shared" ca="1" si="35"/>
        <v/>
      </c>
    </row>
    <row r="283" spans="3:23" x14ac:dyDescent="0.35">
      <c r="C283" s="42" t="str">
        <f>IF(OR(Overview!$D$33="",Overview!$E$33=""),"",IF(Overview!$D$33+271&gt;Overview!$E$33,"",Overview!$D$33+271))</f>
        <v/>
      </c>
      <c r="D283" s="43" t="str">
        <f t="shared" ca="1" si="37"/>
        <v/>
      </c>
      <c r="E283" s="43" t="str">
        <f t="shared" ca="1" si="37"/>
        <v/>
      </c>
      <c r="F283" s="43" t="str">
        <f t="shared" ca="1" si="37"/>
        <v/>
      </c>
      <c r="G283" s="43" t="str">
        <f t="shared" ca="1" si="37"/>
        <v/>
      </c>
      <c r="H283" s="43" t="str">
        <f t="shared" ca="1" si="37"/>
        <v/>
      </c>
      <c r="I283" s="43" t="str">
        <f t="shared" ca="1" si="37"/>
        <v/>
      </c>
      <c r="J283" s="43" t="str">
        <f t="shared" ca="1" si="37"/>
        <v/>
      </c>
      <c r="K283" s="43" t="str">
        <f t="shared" ca="1" si="37"/>
        <v/>
      </c>
      <c r="L283" s="43" t="str">
        <f t="shared" ca="1" si="37"/>
        <v/>
      </c>
      <c r="M283" s="43" t="str">
        <f t="shared" ca="1" si="37"/>
        <v/>
      </c>
      <c r="N283" s="43" t="str">
        <f t="shared" ca="1" si="37"/>
        <v/>
      </c>
      <c r="O283" s="43" t="str">
        <f t="shared" ca="1" si="37"/>
        <v/>
      </c>
      <c r="P283" s="43" t="str">
        <f t="shared" ca="1" si="37"/>
        <v/>
      </c>
      <c r="Q283" s="43" t="str">
        <f t="shared" ca="1" si="37"/>
        <v/>
      </c>
      <c r="R283" s="43" t="str">
        <f t="shared" ca="1" si="37"/>
        <v/>
      </c>
      <c r="S283" s="44" t="str">
        <f t="shared" si="34"/>
        <v/>
      </c>
      <c r="T283" s="43" t="str">
        <f>IF($C283="","",SUMIFS(Overview!$G$18:$G$32,Overview!$D$18:$D$32,"&lt;="&amp;$C283,Overview!$E$18:$E$32,"&gt;="&amp;$C283))</f>
        <v/>
      </c>
      <c r="U283" s="43" t="str">
        <f ca="1">IF(OR($C283="",Overview!$I$33=""),"",IF($C283&gt;Overview!$I$33,"",SUM($S$12:S283)))</f>
        <v/>
      </c>
      <c r="V283" s="43" t="str">
        <f>IF($C283="","",SUM($T$12:T283))</f>
        <v/>
      </c>
      <c r="W283" s="45" t="str">
        <f t="shared" ca="1" si="35"/>
        <v/>
      </c>
    </row>
    <row r="284" spans="3:23" x14ac:dyDescent="0.35">
      <c r="C284" s="42" t="str">
        <f>IF(OR(Overview!$D$33="",Overview!$E$33=""),"",IF(Overview!$D$33+272&gt;Overview!$E$33,"",Overview!$D$33+272))</f>
        <v/>
      </c>
      <c r="D284" s="43" t="str">
        <f t="shared" ca="1" si="37"/>
        <v/>
      </c>
      <c r="E284" s="43" t="str">
        <f t="shared" ca="1" si="37"/>
        <v/>
      </c>
      <c r="F284" s="43" t="str">
        <f t="shared" ca="1" si="37"/>
        <v/>
      </c>
      <c r="G284" s="43" t="str">
        <f t="shared" ca="1" si="37"/>
        <v/>
      </c>
      <c r="H284" s="43" t="str">
        <f t="shared" ca="1" si="37"/>
        <v/>
      </c>
      <c r="I284" s="43" t="str">
        <f t="shared" ca="1" si="37"/>
        <v/>
      </c>
      <c r="J284" s="43" t="str">
        <f t="shared" ca="1" si="37"/>
        <v/>
      </c>
      <c r="K284" s="43" t="str">
        <f t="shared" ca="1" si="37"/>
        <v/>
      </c>
      <c r="L284" s="43" t="str">
        <f t="shared" ca="1" si="37"/>
        <v/>
      </c>
      <c r="M284" s="43" t="str">
        <f t="shared" ca="1" si="37"/>
        <v/>
      </c>
      <c r="N284" s="43" t="str">
        <f t="shared" ca="1" si="37"/>
        <v/>
      </c>
      <c r="O284" s="43" t="str">
        <f t="shared" ca="1" si="37"/>
        <v/>
      </c>
      <c r="P284" s="43" t="str">
        <f t="shared" ca="1" si="37"/>
        <v/>
      </c>
      <c r="Q284" s="43" t="str">
        <f t="shared" ca="1" si="37"/>
        <v/>
      </c>
      <c r="R284" s="43" t="str">
        <f t="shared" ca="1" si="37"/>
        <v/>
      </c>
      <c r="S284" s="44" t="str">
        <f t="shared" si="34"/>
        <v/>
      </c>
      <c r="T284" s="43" t="str">
        <f>IF($C284="","",SUMIFS(Overview!$G$18:$G$32,Overview!$D$18:$D$32,"&lt;="&amp;$C284,Overview!$E$18:$E$32,"&gt;="&amp;$C284))</f>
        <v/>
      </c>
      <c r="U284" s="43" t="str">
        <f ca="1">IF(OR($C284="",Overview!$I$33=""),"",IF($C284&gt;Overview!$I$33,"",SUM($S$12:S284)))</f>
        <v/>
      </c>
      <c r="V284" s="43" t="str">
        <f>IF($C284="","",SUM($T$12:T284))</f>
        <v/>
      </c>
      <c r="W284" s="45" t="str">
        <f t="shared" ca="1" si="35"/>
        <v/>
      </c>
    </row>
    <row r="285" spans="3:23" x14ac:dyDescent="0.35">
      <c r="C285" s="42" t="str">
        <f>IF(OR(Overview!$D$33="",Overview!$E$33=""),"",IF(Overview!$D$33+273&gt;Overview!$E$33,"",Overview!$D$33+273))</f>
        <v/>
      </c>
      <c r="D285" s="43" t="str">
        <f t="shared" ca="1" si="37"/>
        <v/>
      </c>
      <c r="E285" s="43" t="str">
        <f t="shared" ca="1" si="37"/>
        <v/>
      </c>
      <c r="F285" s="43" t="str">
        <f t="shared" ca="1" si="37"/>
        <v/>
      </c>
      <c r="G285" s="43" t="str">
        <f t="shared" ca="1" si="37"/>
        <v/>
      </c>
      <c r="H285" s="43" t="str">
        <f t="shared" ca="1" si="37"/>
        <v/>
      </c>
      <c r="I285" s="43" t="str">
        <f t="shared" ca="1" si="37"/>
        <v/>
      </c>
      <c r="J285" s="43" t="str">
        <f t="shared" ca="1" si="37"/>
        <v/>
      </c>
      <c r="K285" s="43" t="str">
        <f t="shared" ca="1" si="37"/>
        <v/>
      </c>
      <c r="L285" s="43" t="str">
        <f t="shared" ca="1" si="37"/>
        <v/>
      </c>
      <c r="M285" s="43" t="str">
        <f t="shared" ca="1" si="37"/>
        <v/>
      </c>
      <c r="N285" s="43" t="str">
        <f t="shared" ca="1" si="37"/>
        <v/>
      </c>
      <c r="O285" s="43" t="str">
        <f t="shared" ca="1" si="37"/>
        <v/>
      </c>
      <c r="P285" s="43" t="str">
        <f t="shared" ca="1" si="37"/>
        <v/>
      </c>
      <c r="Q285" s="43" t="str">
        <f t="shared" ca="1" si="37"/>
        <v/>
      </c>
      <c r="R285" s="43" t="str">
        <f t="shared" ca="1" si="37"/>
        <v/>
      </c>
      <c r="S285" s="44" t="str">
        <f t="shared" si="34"/>
        <v/>
      </c>
      <c r="T285" s="43" t="str">
        <f>IF($C285="","",SUMIFS(Overview!$G$18:$G$32,Overview!$D$18:$D$32,"&lt;="&amp;$C285,Overview!$E$18:$E$32,"&gt;="&amp;$C285))</f>
        <v/>
      </c>
      <c r="U285" s="43" t="str">
        <f ca="1">IF(OR($C285="",Overview!$I$33=""),"",IF($C285&gt;Overview!$I$33,"",SUM($S$12:S285)))</f>
        <v/>
      </c>
      <c r="V285" s="43" t="str">
        <f>IF($C285="","",SUM($T$12:T285))</f>
        <v/>
      </c>
      <c r="W285" s="45" t="str">
        <f t="shared" ca="1" si="35"/>
        <v/>
      </c>
    </row>
    <row r="286" spans="3:23" x14ac:dyDescent="0.35">
      <c r="C286" s="42" t="str">
        <f>IF(OR(Overview!$D$33="",Overview!$E$33=""),"",IF(Overview!$D$33+274&gt;Overview!$E$33,"",Overview!$D$33+274))</f>
        <v/>
      </c>
      <c r="D286" s="43" t="str">
        <f t="shared" ca="1" si="37"/>
        <v/>
      </c>
      <c r="E286" s="43" t="str">
        <f t="shared" ca="1" si="37"/>
        <v/>
      </c>
      <c r="F286" s="43" t="str">
        <f t="shared" ca="1" si="37"/>
        <v/>
      </c>
      <c r="G286" s="43" t="str">
        <f t="shared" ca="1" si="37"/>
        <v/>
      </c>
      <c r="H286" s="43" t="str">
        <f t="shared" ca="1" si="37"/>
        <v/>
      </c>
      <c r="I286" s="43" t="str">
        <f t="shared" ca="1" si="37"/>
        <v/>
      </c>
      <c r="J286" s="43" t="str">
        <f t="shared" ca="1" si="37"/>
        <v/>
      </c>
      <c r="K286" s="43" t="str">
        <f t="shared" ca="1" si="37"/>
        <v/>
      </c>
      <c r="L286" s="43" t="str">
        <f t="shared" ca="1" si="37"/>
        <v/>
      </c>
      <c r="M286" s="43" t="str">
        <f t="shared" ca="1" si="37"/>
        <v/>
      </c>
      <c r="N286" s="43" t="str">
        <f t="shared" ca="1" si="37"/>
        <v/>
      </c>
      <c r="O286" s="43" t="str">
        <f t="shared" ca="1" si="37"/>
        <v/>
      </c>
      <c r="P286" s="43" t="str">
        <f t="shared" ca="1" si="37"/>
        <v/>
      </c>
      <c r="Q286" s="43" t="str">
        <f t="shared" ca="1" si="37"/>
        <v/>
      </c>
      <c r="R286" s="43" t="str">
        <f t="shared" ca="1" si="37"/>
        <v/>
      </c>
      <c r="S286" s="44" t="str">
        <f t="shared" si="34"/>
        <v/>
      </c>
      <c r="T286" s="43" t="str">
        <f>IF($C286="","",SUMIFS(Overview!$G$18:$G$32,Overview!$D$18:$D$32,"&lt;="&amp;$C286,Overview!$E$18:$E$32,"&gt;="&amp;$C286))</f>
        <v/>
      </c>
      <c r="U286" s="43" t="str">
        <f ca="1">IF(OR($C286="",Overview!$I$33=""),"",IF($C286&gt;Overview!$I$33,"",SUM($S$12:S286)))</f>
        <v/>
      </c>
      <c r="V286" s="43" t="str">
        <f>IF($C286="","",SUM($T$12:T286))</f>
        <v/>
      </c>
      <c r="W286" s="45" t="str">
        <f t="shared" ca="1" si="35"/>
        <v/>
      </c>
    </row>
    <row r="287" spans="3:23" x14ac:dyDescent="0.35">
      <c r="C287" s="42" t="str">
        <f>IF(OR(Overview!$D$33="",Overview!$E$33=""),"",IF(Overview!$D$33+275&gt;Overview!$E$33,"",Overview!$D$33+275))</f>
        <v/>
      </c>
      <c r="D287" s="43" t="str">
        <f t="shared" ca="1" si="37"/>
        <v/>
      </c>
      <c r="E287" s="43" t="str">
        <f t="shared" ca="1" si="37"/>
        <v/>
      </c>
      <c r="F287" s="43" t="str">
        <f t="shared" ca="1" si="37"/>
        <v/>
      </c>
      <c r="G287" s="43" t="str">
        <f t="shared" ca="1" si="37"/>
        <v/>
      </c>
      <c r="H287" s="43" t="str">
        <f t="shared" ca="1" si="37"/>
        <v/>
      </c>
      <c r="I287" s="43" t="str">
        <f t="shared" ca="1" si="37"/>
        <v/>
      </c>
      <c r="J287" s="43" t="str">
        <f t="shared" ca="1" si="37"/>
        <v/>
      </c>
      <c r="K287" s="43" t="str">
        <f t="shared" ca="1" si="37"/>
        <v/>
      </c>
      <c r="L287" s="43" t="str">
        <f t="shared" ca="1" si="37"/>
        <v/>
      </c>
      <c r="M287" s="43" t="str">
        <f t="shared" ca="1" si="37"/>
        <v/>
      </c>
      <c r="N287" s="43" t="str">
        <f t="shared" ca="1" si="37"/>
        <v/>
      </c>
      <c r="O287" s="43" t="str">
        <f t="shared" ca="1" si="37"/>
        <v/>
      </c>
      <c r="P287" s="43" t="str">
        <f t="shared" ca="1" si="37"/>
        <v/>
      </c>
      <c r="Q287" s="43" t="str">
        <f t="shared" ca="1" si="37"/>
        <v/>
      </c>
      <c r="R287" s="43" t="str">
        <f t="shared" ca="1" si="37"/>
        <v/>
      </c>
      <c r="S287" s="44" t="str">
        <f t="shared" si="34"/>
        <v/>
      </c>
      <c r="T287" s="43" t="str">
        <f>IF($C287="","",SUMIFS(Overview!$G$18:$G$32,Overview!$D$18:$D$32,"&lt;="&amp;$C287,Overview!$E$18:$E$32,"&gt;="&amp;$C287))</f>
        <v/>
      </c>
      <c r="U287" s="43" t="str">
        <f ca="1">IF(OR($C287="",Overview!$I$33=""),"",IF($C287&gt;Overview!$I$33,"",SUM($S$12:S287)))</f>
        <v/>
      </c>
      <c r="V287" s="43" t="str">
        <f>IF($C287="","",SUM($T$12:T287))</f>
        <v/>
      </c>
      <c r="W287" s="45" t="str">
        <f t="shared" ca="1" si="35"/>
        <v/>
      </c>
    </row>
    <row r="288" spans="3:23" x14ac:dyDescent="0.35">
      <c r="C288" s="42" t="str">
        <f>IF(OR(Overview!$D$33="",Overview!$E$33=""),"",IF(Overview!$D$33+276&gt;Overview!$E$33,"",Overview!$D$33+276))</f>
        <v/>
      </c>
      <c r="D288" s="43" t="str">
        <f t="shared" ca="1" si="37"/>
        <v/>
      </c>
      <c r="E288" s="43" t="str">
        <f t="shared" ca="1" si="37"/>
        <v/>
      </c>
      <c r="F288" s="43" t="str">
        <f t="shared" ca="1" si="37"/>
        <v/>
      </c>
      <c r="G288" s="43" t="str">
        <f t="shared" ca="1" si="37"/>
        <v/>
      </c>
      <c r="H288" s="43" t="str">
        <f t="shared" ca="1" si="37"/>
        <v/>
      </c>
      <c r="I288" s="43" t="str">
        <f t="shared" ca="1" si="37"/>
        <v/>
      </c>
      <c r="J288" s="43" t="str">
        <f t="shared" ca="1" si="37"/>
        <v/>
      </c>
      <c r="K288" s="43" t="str">
        <f t="shared" ca="1" si="37"/>
        <v/>
      </c>
      <c r="L288" s="43" t="str">
        <f t="shared" ca="1" si="37"/>
        <v/>
      </c>
      <c r="M288" s="43" t="str">
        <f t="shared" ca="1" si="37"/>
        <v/>
      </c>
      <c r="N288" s="43" t="str">
        <f t="shared" ca="1" si="37"/>
        <v/>
      </c>
      <c r="O288" s="43" t="str">
        <f t="shared" ca="1" si="37"/>
        <v/>
      </c>
      <c r="P288" s="43" t="str">
        <f t="shared" ca="1" si="37"/>
        <v/>
      </c>
      <c r="Q288" s="43" t="str">
        <f t="shared" ca="1" si="37"/>
        <v/>
      </c>
      <c r="R288" s="43" t="str">
        <f t="shared" ca="1" si="37"/>
        <v/>
      </c>
      <c r="S288" s="44" t="str">
        <f t="shared" si="34"/>
        <v/>
      </c>
      <c r="T288" s="43" t="str">
        <f>IF($C288="","",SUMIFS(Overview!$G$18:$G$32,Overview!$D$18:$D$32,"&lt;="&amp;$C288,Overview!$E$18:$E$32,"&gt;="&amp;$C288))</f>
        <v/>
      </c>
      <c r="U288" s="43" t="str">
        <f ca="1">IF(OR($C288="",Overview!$I$33=""),"",IF($C288&gt;Overview!$I$33,"",SUM($S$12:S288)))</f>
        <v/>
      </c>
      <c r="V288" s="43" t="str">
        <f>IF($C288="","",SUM($T$12:T288))</f>
        <v/>
      </c>
      <c r="W288" s="45" t="str">
        <f t="shared" ca="1" si="35"/>
        <v/>
      </c>
    </row>
    <row r="289" spans="3:23" x14ac:dyDescent="0.35">
      <c r="C289" s="42" t="str">
        <f>IF(OR(Overview!$D$33="",Overview!$E$33=""),"",IF(Overview!$D$33+277&gt;Overview!$E$33,"",Overview!$D$33+277))</f>
        <v/>
      </c>
      <c r="D289" s="43" t="str">
        <f t="shared" ca="1" si="37"/>
        <v/>
      </c>
      <c r="E289" s="43" t="str">
        <f t="shared" ca="1" si="37"/>
        <v/>
      </c>
      <c r="F289" s="43" t="str">
        <f t="shared" ca="1" si="37"/>
        <v/>
      </c>
      <c r="G289" s="43" t="str">
        <f t="shared" ca="1" si="37"/>
        <v/>
      </c>
      <c r="H289" s="43" t="str">
        <f t="shared" ca="1" si="37"/>
        <v/>
      </c>
      <c r="I289" s="43" t="str">
        <f t="shared" ca="1" si="37"/>
        <v/>
      </c>
      <c r="J289" s="43" t="str">
        <f t="shared" ca="1" si="37"/>
        <v/>
      </c>
      <c r="K289" s="43" t="str">
        <f t="shared" ca="1" si="37"/>
        <v/>
      </c>
      <c r="L289" s="43" t="str">
        <f t="shared" ca="1" si="37"/>
        <v/>
      </c>
      <c r="M289" s="43" t="str">
        <f t="shared" ca="1" si="37"/>
        <v/>
      </c>
      <c r="N289" s="43" t="str">
        <f t="shared" ca="1" si="37"/>
        <v/>
      </c>
      <c r="O289" s="43" t="str">
        <f t="shared" ca="1" si="37"/>
        <v/>
      </c>
      <c r="P289" s="43" t="str">
        <f t="shared" ca="1" si="37"/>
        <v/>
      </c>
      <c r="Q289" s="43" t="str">
        <f t="shared" ca="1" si="37"/>
        <v/>
      </c>
      <c r="R289" s="43" t="str">
        <f t="shared" ca="1" si="37"/>
        <v/>
      </c>
      <c r="S289" s="44" t="str">
        <f t="shared" si="34"/>
        <v/>
      </c>
      <c r="T289" s="43" t="str">
        <f>IF($C289="","",SUMIFS(Overview!$G$18:$G$32,Overview!$D$18:$D$32,"&lt;="&amp;$C289,Overview!$E$18:$E$32,"&gt;="&amp;$C289))</f>
        <v/>
      </c>
      <c r="U289" s="43" t="str">
        <f ca="1">IF(OR($C289="",Overview!$I$33=""),"",IF($C289&gt;Overview!$I$33,"",SUM($S$12:S289)))</f>
        <v/>
      </c>
      <c r="V289" s="43" t="str">
        <f>IF($C289="","",SUM($T$12:T289))</f>
        <v/>
      </c>
      <c r="W289" s="45" t="str">
        <f t="shared" ca="1" si="35"/>
        <v/>
      </c>
    </row>
    <row r="290" spans="3:23" x14ac:dyDescent="0.35">
      <c r="C290" s="42" t="str">
        <f>IF(OR(Overview!$D$33="",Overview!$E$33=""),"",IF(Overview!$D$33+278&gt;Overview!$E$33,"",Overview!$D$33+278))</f>
        <v/>
      </c>
      <c r="D290" s="43" t="str">
        <f t="shared" ca="1" si="37"/>
        <v/>
      </c>
      <c r="E290" s="43" t="str">
        <f t="shared" ca="1" si="37"/>
        <v/>
      </c>
      <c r="F290" s="43" t="str">
        <f t="shared" ca="1" si="37"/>
        <v/>
      </c>
      <c r="G290" s="43" t="str">
        <f t="shared" ca="1" si="37"/>
        <v/>
      </c>
      <c r="H290" s="43" t="str">
        <f t="shared" ca="1" si="37"/>
        <v/>
      </c>
      <c r="I290" s="43" t="str">
        <f t="shared" ca="1" si="37"/>
        <v/>
      </c>
      <c r="J290" s="43" t="str">
        <f t="shared" ca="1" si="37"/>
        <v/>
      </c>
      <c r="K290" s="43" t="str">
        <f t="shared" ca="1" si="37"/>
        <v/>
      </c>
      <c r="L290" s="43" t="str">
        <f t="shared" ca="1" si="37"/>
        <v/>
      </c>
      <c r="M290" s="43" t="str">
        <f t="shared" ca="1" si="37"/>
        <v/>
      </c>
      <c r="N290" s="43" t="str">
        <f t="shared" ca="1" si="37"/>
        <v/>
      </c>
      <c r="O290" s="43" t="str">
        <f t="shared" ca="1" si="37"/>
        <v/>
      </c>
      <c r="P290" s="43" t="str">
        <f t="shared" ca="1" si="37"/>
        <v/>
      </c>
      <c r="Q290" s="43" t="str">
        <f t="shared" ca="1" si="37"/>
        <v/>
      </c>
      <c r="R290" s="43" t="str">
        <f t="shared" ca="1" si="37"/>
        <v/>
      </c>
      <c r="S290" s="44" t="str">
        <f t="shared" si="34"/>
        <v/>
      </c>
      <c r="T290" s="43" t="str">
        <f>IF($C290="","",SUMIFS(Overview!$G$18:$G$32,Overview!$D$18:$D$32,"&lt;="&amp;$C290,Overview!$E$18:$E$32,"&gt;="&amp;$C290))</f>
        <v/>
      </c>
      <c r="U290" s="43" t="str">
        <f ca="1">IF(OR($C290="",Overview!$I$33=""),"",IF($C290&gt;Overview!$I$33,"",SUM($S$12:S290)))</f>
        <v/>
      </c>
      <c r="V290" s="43" t="str">
        <f>IF($C290="","",SUM($T$12:T290))</f>
        <v/>
      </c>
      <c r="W290" s="45" t="str">
        <f t="shared" ca="1" si="35"/>
        <v/>
      </c>
    </row>
    <row r="291" spans="3:23" x14ac:dyDescent="0.35">
      <c r="C291" s="42" t="str">
        <f>IF(OR(Overview!$D$33="",Overview!$E$33=""),"",IF(Overview!$D$33+279&gt;Overview!$E$33,"",Overview!$D$33+279))</f>
        <v/>
      </c>
      <c r="D291" s="43" t="str">
        <f t="shared" ca="1" si="37"/>
        <v/>
      </c>
      <c r="E291" s="43" t="str">
        <f t="shared" ca="1" si="37"/>
        <v/>
      </c>
      <c r="F291" s="43" t="str">
        <f t="shared" ca="1" si="37"/>
        <v/>
      </c>
      <c r="G291" s="43" t="str">
        <f t="shared" ca="1" si="37"/>
        <v/>
      </c>
      <c r="H291" s="43" t="str">
        <f t="shared" ca="1" si="37"/>
        <v/>
      </c>
      <c r="I291" s="43" t="str">
        <f t="shared" ca="1" si="37"/>
        <v/>
      </c>
      <c r="J291" s="43" t="str">
        <f t="shared" ca="1" si="37"/>
        <v/>
      </c>
      <c r="K291" s="43" t="str">
        <f t="shared" ca="1" si="37"/>
        <v/>
      </c>
      <c r="L291" s="43" t="str">
        <f t="shared" ca="1" si="37"/>
        <v/>
      </c>
      <c r="M291" s="43" t="str">
        <f t="shared" ca="1" si="37"/>
        <v/>
      </c>
      <c r="N291" s="43" t="str">
        <f t="shared" ca="1" si="37"/>
        <v/>
      </c>
      <c r="O291" s="43" t="str">
        <f t="shared" ca="1" si="37"/>
        <v/>
      </c>
      <c r="P291" s="43" t="str">
        <f t="shared" ca="1" si="37"/>
        <v/>
      </c>
      <c r="Q291" s="43" t="str">
        <f t="shared" ca="1" si="37"/>
        <v/>
      </c>
      <c r="R291" s="43" t="str">
        <f t="shared" ca="1" si="37"/>
        <v/>
      </c>
      <c r="S291" s="44" t="str">
        <f t="shared" si="34"/>
        <v/>
      </c>
      <c r="T291" s="43" t="str">
        <f>IF($C291="","",SUMIFS(Overview!$G$18:$G$32,Overview!$D$18:$D$32,"&lt;="&amp;$C291,Overview!$E$18:$E$32,"&gt;="&amp;$C291))</f>
        <v/>
      </c>
      <c r="U291" s="43" t="str">
        <f ca="1">IF(OR($C291="",Overview!$I$33=""),"",IF($C291&gt;Overview!$I$33,"",SUM($S$12:S291)))</f>
        <v/>
      </c>
      <c r="V291" s="43" t="str">
        <f>IF($C291="","",SUM($T$12:T291))</f>
        <v/>
      </c>
      <c r="W291" s="45" t="str">
        <f t="shared" ca="1" si="35"/>
        <v/>
      </c>
    </row>
    <row r="292" spans="3:23" x14ac:dyDescent="0.35">
      <c r="C292" s="42" t="str">
        <f>IF(OR(Overview!$D$33="",Overview!$E$33=""),"",IF(Overview!$D$33+280&gt;Overview!$E$33,"",Overview!$D$33+280))</f>
        <v/>
      </c>
      <c r="D292" s="43" t="str">
        <f t="shared" ref="D292:R301" ca="1" si="38">IF(OR($C292="",D$11=""),"",IFERROR(SUMIFS(INDIRECT("'"&amp;D$11&amp;"'!$F$14:$F$10013"),INDIRECT("'"&amp;D$11&amp;"'!$C$14:$C$10013"),$C292),""))</f>
        <v/>
      </c>
      <c r="E292" s="43" t="str">
        <f t="shared" ca="1" si="38"/>
        <v/>
      </c>
      <c r="F292" s="43" t="str">
        <f t="shared" ca="1" si="38"/>
        <v/>
      </c>
      <c r="G292" s="43" t="str">
        <f t="shared" ca="1" si="38"/>
        <v/>
      </c>
      <c r="H292" s="43" t="str">
        <f t="shared" ca="1" si="38"/>
        <v/>
      </c>
      <c r="I292" s="43" t="str">
        <f t="shared" ca="1" si="38"/>
        <v/>
      </c>
      <c r="J292" s="43" t="str">
        <f t="shared" ca="1" si="38"/>
        <v/>
      </c>
      <c r="K292" s="43" t="str">
        <f t="shared" ca="1" si="38"/>
        <v/>
      </c>
      <c r="L292" s="43" t="str">
        <f t="shared" ca="1" si="38"/>
        <v/>
      </c>
      <c r="M292" s="43" t="str">
        <f t="shared" ca="1" si="38"/>
        <v/>
      </c>
      <c r="N292" s="43" t="str">
        <f t="shared" ca="1" si="38"/>
        <v/>
      </c>
      <c r="O292" s="43" t="str">
        <f t="shared" ca="1" si="38"/>
        <v/>
      </c>
      <c r="P292" s="43" t="str">
        <f t="shared" ca="1" si="38"/>
        <v/>
      </c>
      <c r="Q292" s="43" t="str">
        <f t="shared" ca="1" si="38"/>
        <v/>
      </c>
      <c r="R292" s="43" t="str">
        <f t="shared" ca="1" si="38"/>
        <v/>
      </c>
      <c r="S292" s="44" t="str">
        <f t="shared" si="34"/>
        <v/>
      </c>
      <c r="T292" s="43" t="str">
        <f>IF($C292="","",SUMIFS(Overview!$G$18:$G$32,Overview!$D$18:$D$32,"&lt;="&amp;$C292,Overview!$E$18:$E$32,"&gt;="&amp;$C292))</f>
        <v/>
      </c>
      <c r="U292" s="43" t="str">
        <f ca="1">IF(OR($C292="",Overview!$I$33=""),"",IF($C292&gt;Overview!$I$33,"",SUM($S$12:S292)))</f>
        <v/>
      </c>
      <c r="V292" s="43" t="str">
        <f>IF($C292="","",SUM($T$12:T292))</f>
        <v/>
      </c>
      <c r="W292" s="45" t="str">
        <f t="shared" ca="1" si="35"/>
        <v/>
      </c>
    </row>
    <row r="293" spans="3:23" x14ac:dyDescent="0.35">
      <c r="C293" s="42" t="str">
        <f>IF(OR(Overview!$D$33="",Overview!$E$33=""),"",IF(Overview!$D$33+281&gt;Overview!$E$33,"",Overview!$D$33+281))</f>
        <v/>
      </c>
      <c r="D293" s="43" t="str">
        <f t="shared" ca="1" si="38"/>
        <v/>
      </c>
      <c r="E293" s="43" t="str">
        <f t="shared" ca="1" si="38"/>
        <v/>
      </c>
      <c r="F293" s="43" t="str">
        <f t="shared" ca="1" si="38"/>
        <v/>
      </c>
      <c r="G293" s="43" t="str">
        <f t="shared" ca="1" si="38"/>
        <v/>
      </c>
      <c r="H293" s="43" t="str">
        <f t="shared" ca="1" si="38"/>
        <v/>
      </c>
      <c r="I293" s="43" t="str">
        <f t="shared" ca="1" si="38"/>
        <v/>
      </c>
      <c r="J293" s="43" t="str">
        <f t="shared" ca="1" si="38"/>
        <v/>
      </c>
      <c r="K293" s="43" t="str">
        <f t="shared" ca="1" si="38"/>
        <v/>
      </c>
      <c r="L293" s="43" t="str">
        <f t="shared" ca="1" si="38"/>
        <v/>
      </c>
      <c r="M293" s="43" t="str">
        <f t="shared" ca="1" si="38"/>
        <v/>
      </c>
      <c r="N293" s="43" t="str">
        <f t="shared" ca="1" si="38"/>
        <v/>
      </c>
      <c r="O293" s="43" t="str">
        <f t="shared" ca="1" si="38"/>
        <v/>
      </c>
      <c r="P293" s="43" t="str">
        <f t="shared" ca="1" si="38"/>
        <v/>
      </c>
      <c r="Q293" s="43" t="str">
        <f t="shared" ca="1" si="38"/>
        <v/>
      </c>
      <c r="R293" s="43" t="str">
        <f t="shared" ca="1" si="38"/>
        <v/>
      </c>
      <c r="S293" s="44" t="str">
        <f t="shared" si="34"/>
        <v/>
      </c>
      <c r="T293" s="43" t="str">
        <f>IF($C293="","",SUMIFS(Overview!$G$18:$G$32,Overview!$D$18:$D$32,"&lt;="&amp;$C293,Overview!$E$18:$E$32,"&gt;="&amp;$C293))</f>
        <v/>
      </c>
      <c r="U293" s="43" t="str">
        <f ca="1">IF(OR($C293="",Overview!$I$33=""),"",IF($C293&gt;Overview!$I$33,"",SUM($S$12:S293)))</f>
        <v/>
      </c>
      <c r="V293" s="43" t="str">
        <f>IF($C293="","",SUM($T$12:T293))</f>
        <v/>
      </c>
      <c r="W293" s="45" t="str">
        <f t="shared" ca="1" si="35"/>
        <v/>
      </c>
    </row>
    <row r="294" spans="3:23" x14ac:dyDescent="0.35">
      <c r="C294" s="42" t="str">
        <f>IF(OR(Overview!$D$33="",Overview!$E$33=""),"",IF(Overview!$D$33+282&gt;Overview!$E$33,"",Overview!$D$33+282))</f>
        <v/>
      </c>
      <c r="D294" s="43" t="str">
        <f t="shared" ca="1" si="38"/>
        <v/>
      </c>
      <c r="E294" s="43" t="str">
        <f t="shared" ca="1" si="38"/>
        <v/>
      </c>
      <c r="F294" s="43" t="str">
        <f t="shared" ca="1" si="38"/>
        <v/>
      </c>
      <c r="G294" s="43" t="str">
        <f t="shared" ca="1" si="38"/>
        <v/>
      </c>
      <c r="H294" s="43" t="str">
        <f t="shared" ca="1" si="38"/>
        <v/>
      </c>
      <c r="I294" s="43" t="str">
        <f t="shared" ca="1" si="38"/>
        <v/>
      </c>
      <c r="J294" s="43" t="str">
        <f t="shared" ca="1" si="38"/>
        <v/>
      </c>
      <c r="K294" s="43" t="str">
        <f t="shared" ca="1" si="38"/>
        <v/>
      </c>
      <c r="L294" s="43" t="str">
        <f t="shared" ca="1" si="38"/>
        <v/>
      </c>
      <c r="M294" s="43" t="str">
        <f t="shared" ca="1" si="38"/>
        <v/>
      </c>
      <c r="N294" s="43" t="str">
        <f t="shared" ca="1" si="38"/>
        <v/>
      </c>
      <c r="O294" s="43" t="str">
        <f t="shared" ca="1" si="38"/>
        <v/>
      </c>
      <c r="P294" s="43" t="str">
        <f t="shared" ca="1" si="38"/>
        <v/>
      </c>
      <c r="Q294" s="43" t="str">
        <f t="shared" ca="1" si="38"/>
        <v/>
      </c>
      <c r="R294" s="43" t="str">
        <f t="shared" ca="1" si="38"/>
        <v/>
      </c>
      <c r="S294" s="44" t="str">
        <f t="shared" si="34"/>
        <v/>
      </c>
      <c r="T294" s="43" t="str">
        <f>IF($C294="","",SUMIFS(Overview!$G$18:$G$32,Overview!$D$18:$D$32,"&lt;="&amp;$C294,Overview!$E$18:$E$32,"&gt;="&amp;$C294))</f>
        <v/>
      </c>
      <c r="U294" s="43" t="str">
        <f ca="1">IF(OR($C294="",Overview!$I$33=""),"",IF($C294&gt;Overview!$I$33,"",SUM($S$12:S294)))</f>
        <v/>
      </c>
      <c r="V294" s="43" t="str">
        <f>IF($C294="","",SUM($T$12:T294))</f>
        <v/>
      </c>
      <c r="W294" s="45" t="str">
        <f t="shared" ca="1" si="35"/>
        <v/>
      </c>
    </row>
    <row r="295" spans="3:23" x14ac:dyDescent="0.35">
      <c r="C295" s="42" t="str">
        <f>IF(OR(Overview!$D$33="",Overview!$E$33=""),"",IF(Overview!$D$33+283&gt;Overview!$E$33,"",Overview!$D$33+283))</f>
        <v/>
      </c>
      <c r="D295" s="43" t="str">
        <f t="shared" ca="1" si="38"/>
        <v/>
      </c>
      <c r="E295" s="43" t="str">
        <f t="shared" ca="1" si="38"/>
        <v/>
      </c>
      <c r="F295" s="43" t="str">
        <f t="shared" ca="1" si="38"/>
        <v/>
      </c>
      <c r="G295" s="43" t="str">
        <f t="shared" ca="1" si="38"/>
        <v/>
      </c>
      <c r="H295" s="43" t="str">
        <f t="shared" ca="1" si="38"/>
        <v/>
      </c>
      <c r="I295" s="43" t="str">
        <f t="shared" ca="1" si="38"/>
        <v/>
      </c>
      <c r="J295" s="43" t="str">
        <f t="shared" ca="1" si="38"/>
        <v/>
      </c>
      <c r="K295" s="43" t="str">
        <f t="shared" ca="1" si="38"/>
        <v/>
      </c>
      <c r="L295" s="43" t="str">
        <f t="shared" ca="1" si="38"/>
        <v/>
      </c>
      <c r="M295" s="43" t="str">
        <f t="shared" ca="1" si="38"/>
        <v/>
      </c>
      <c r="N295" s="43" t="str">
        <f t="shared" ca="1" si="38"/>
        <v/>
      </c>
      <c r="O295" s="43" t="str">
        <f t="shared" ca="1" si="38"/>
        <v/>
      </c>
      <c r="P295" s="43" t="str">
        <f t="shared" ca="1" si="38"/>
        <v/>
      </c>
      <c r="Q295" s="43" t="str">
        <f t="shared" ca="1" si="38"/>
        <v/>
      </c>
      <c r="R295" s="43" t="str">
        <f t="shared" ca="1" si="38"/>
        <v/>
      </c>
      <c r="S295" s="44" t="str">
        <f t="shared" si="34"/>
        <v/>
      </c>
      <c r="T295" s="43" t="str">
        <f>IF($C295="","",SUMIFS(Overview!$G$18:$G$32,Overview!$D$18:$D$32,"&lt;="&amp;$C295,Overview!$E$18:$E$32,"&gt;="&amp;$C295))</f>
        <v/>
      </c>
      <c r="U295" s="43" t="str">
        <f ca="1">IF(OR($C295="",Overview!$I$33=""),"",IF($C295&gt;Overview!$I$33,"",SUM($S$12:S295)))</f>
        <v/>
      </c>
      <c r="V295" s="43" t="str">
        <f>IF($C295="","",SUM($T$12:T295))</f>
        <v/>
      </c>
      <c r="W295" s="45" t="str">
        <f t="shared" ca="1" si="35"/>
        <v/>
      </c>
    </row>
    <row r="296" spans="3:23" x14ac:dyDescent="0.35">
      <c r="C296" s="42" t="str">
        <f>IF(OR(Overview!$D$33="",Overview!$E$33=""),"",IF(Overview!$D$33+284&gt;Overview!$E$33,"",Overview!$D$33+284))</f>
        <v/>
      </c>
      <c r="D296" s="43" t="str">
        <f t="shared" ca="1" si="38"/>
        <v/>
      </c>
      <c r="E296" s="43" t="str">
        <f t="shared" ca="1" si="38"/>
        <v/>
      </c>
      <c r="F296" s="43" t="str">
        <f t="shared" ca="1" si="38"/>
        <v/>
      </c>
      <c r="G296" s="43" t="str">
        <f t="shared" ca="1" si="38"/>
        <v/>
      </c>
      <c r="H296" s="43" t="str">
        <f t="shared" ca="1" si="38"/>
        <v/>
      </c>
      <c r="I296" s="43" t="str">
        <f t="shared" ca="1" si="38"/>
        <v/>
      </c>
      <c r="J296" s="43" t="str">
        <f t="shared" ca="1" si="38"/>
        <v/>
      </c>
      <c r="K296" s="43" t="str">
        <f t="shared" ca="1" si="38"/>
        <v/>
      </c>
      <c r="L296" s="43" t="str">
        <f t="shared" ca="1" si="38"/>
        <v/>
      </c>
      <c r="M296" s="43" t="str">
        <f t="shared" ca="1" si="38"/>
        <v/>
      </c>
      <c r="N296" s="43" t="str">
        <f t="shared" ca="1" si="38"/>
        <v/>
      </c>
      <c r="O296" s="43" t="str">
        <f t="shared" ca="1" si="38"/>
        <v/>
      </c>
      <c r="P296" s="43" t="str">
        <f t="shared" ca="1" si="38"/>
        <v/>
      </c>
      <c r="Q296" s="43" t="str">
        <f t="shared" ca="1" si="38"/>
        <v/>
      </c>
      <c r="R296" s="43" t="str">
        <f t="shared" ca="1" si="38"/>
        <v/>
      </c>
      <c r="S296" s="44" t="str">
        <f t="shared" si="34"/>
        <v/>
      </c>
      <c r="T296" s="43" t="str">
        <f>IF($C296="","",SUMIFS(Overview!$G$18:$G$32,Overview!$D$18:$D$32,"&lt;="&amp;$C296,Overview!$E$18:$E$32,"&gt;="&amp;$C296))</f>
        <v/>
      </c>
      <c r="U296" s="43" t="str">
        <f ca="1">IF(OR($C296="",Overview!$I$33=""),"",IF($C296&gt;Overview!$I$33,"",SUM($S$12:S296)))</f>
        <v/>
      </c>
      <c r="V296" s="43" t="str">
        <f>IF($C296="","",SUM($T$12:T296))</f>
        <v/>
      </c>
      <c r="W296" s="45" t="str">
        <f t="shared" ca="1" si="35"/>
        <v/>
      </c>
    </row>
    <row r="297" spans="3:23" x14ac:dyDescent="0.35">
      <c r="C297" s="42" t="str">
        <f>IF(OR(Overview!$D$33="",Overview!$E$33=""),"",IF(Overview!$D$33+285&gt;Overview!$E$33,"",Overview!$D$33+285))</f>
        <v/>
      </c>
      <c r="D297" s="43" t="str">
        <f t="shared" ca="1" si="38"/>
        <v/>
      </c>
      <c r="E297" s="43" t="str">
        <f t="shared" ca="1" si="38"/>
        <v/>
      </c>
      <c r="F297" s="43" t="str">
        <f t="shared" ca="1" si="38"/>
        <v/>
      </c>
      <c r="G297" s="43" t="str">
        <f t="shared" ca="1" si="38"/>
        <v/>
      </c>
      <c r="H297" s="43" t="str">
        <f t="shared" ca="1" si="38"/>
        <v/>
      </c>
      <c r="I297" s="43" t="str">
        <f t="shared" ca="1" si="38"/>
        <v/>
      </c>
      <c r="J297" s="43" t="str">
        <f t="shared" ca="1" si="38"/>
        <v/>
      </c>
      <c r="K297" s="43" t="str">
        <f t="shared" ca="1" si="38"/>
        <v/>
      </c>
      <c r="L297" s="43" t="str">
        <f t="shared" ca="1" si="38"/>
        <v/>
      </c>
      <c r="M297" s="43" t="str">
        <f t="shared" ca="1" si="38"/>
        <v/>
      </c>
      <c r="N297" s="43" t="str">
        <f t="shared" ca="1" si="38"/>
        <v/>
      </c>
      <c r="O297" s="43" t="str">
        <f t="shared" ca="1" si="38"/>
        <v/>
      </c>
      <c r="P297" s="43" t="str">
        <f t="shared" ca="1" si="38"/>
        <v/>
      </c>
      <c r="Q297" s="43" t="str">
        <f t="shared" ca="1" si="38"/>
        <v/>
      </c>
      <c r="R297" s="43" t="str">
        <f t="shared" ca="1" si="38"/>
        <v/>
      </c>
      <c r="S297" s="44" t="str">
        <f t="shared" si="34"/>
        <v/>
      </c>
      <c r="T297" s="43" t="str">
        <f>IF($C297="","",SUMIFS(Overview!$G$18:$G$32,Overview!$D$18:$D$32,"&lt;="&amp;$C297,Overview!$E$18:$E$32,"&gt;="&amp;$C297))</f>
        <v/>
      </c>
      <c r="U297" s="43" t="str">
        <f ca="1">IF(OR($C297="",Overview!$I$33=""),"",IF($C297&gt;Overview!$I$33,"",SUM($S$12:S297)))</f>
        <v/>
      </c>
      <c r="V297" s="43" t="str">
        <f>IF($C297="","",SUM($T$12:T297))</f>
        <v/>
      </c>
      <c r="W297" s="45" t="str">
        <f t="shared" ca="1" si="35"/>
        <v/>
      </c>
    </row>
    <row r="298" spans="3:23" x14ac:dyDescent="0.35">
      <c r="C298" s="42" t="str">
        <f>IF(OR(Overview!$D$33="",Overview!$E$33=""),"",IF(Overview!$D$33+286&gt;Overview!$E$33,"",Overview!$D$33+286))</f>
        <v/>
      </c>
      <c r="D298" s="43" t="str">
        <f t="shared" ca="1" si="38"/>
        <v/>
      </c>
      <c r="E298" s="43" t="str">
        <f t="shared" ca="1" si="38"/>
        <v/>
      </c>
      <c r="F298" s="43" t="str">
        <f t="shared" ca="1" si="38"/>
        <v/>
      </c>
      <c r="G298" s="43" t="str">
        <f t="shared" ca="1" si="38"/>
        <v/>
      </c>
      <c r="H298" s="43" t="str">
        <f t="shared" ca="1" si="38"/>
        <v/>
      </c>
      <c r="I298" s="43" t="str">
        <f t="shared" ca="1" si="38"/>
        <v/>
      </c>
      <c r="J298" s="43" t="str">
        <f t="shared" ca="1" si="38"/>
        <v/>
      </c>
      <c r="K298" s="43" t="str">
        <f t="shared" ca="1" si="38"/>
        <v/>
      </c>
      <c r="L298" s="43" t="str">
        <f t="shared" ca="1" si="38"/>
        <v/>
      </c>
      <c r="M298" s="43" t="str">
        <f t="shared" ca="1" si="38"/>
        <v/>
      </c>
      <c r="N298" s="43" t="str">
        <f t="shared" ca="1" si="38"/>
        <v/>
      </c>
      <c r="O298" s="43" t="str">
        <f t="shared" ca="1" si="38"/>
        <v/>
      </c>
      <c r="P298" s="43" t="str">
        <f t="shared" ca="1" si="38"/>
        <v/>
      </c>
      <c r="Q298" s="43" t="str">
        <f t="shared" ca="1" si="38"/>
        <v/>
      </c>
      <c r="R298" s="43" t="str">
        <f t="shared" ca="1" si="38"/>
        <v/>
      </c>
      <c r="S298" s="44" t="str">
        <f t="shared" si="34"/>
        <v/>
      </c>
      <c r="T298" s="43" t="str">
        <f>IF($C298="","",SUMIFS(Overview!$G$18:$G$32,Overview!$D$18:$D$32,"&lt;="&amp;$C298,Overview!$E$18:$E$32,"&gt;="&amp;$C298))</f>
        <v/>
      </c>
      <c r="U298" s="43" t="str">
        <f ca="1">IF(OR($C298="",Overview!$I$33=""),"",IF($C298&gt;Overview!$I$33,"",SUM($S$12:S298)))</f>
        <v/>
      </c>
      <c r="V298" s="43" t="str">
        <f>IF($C298="","",SUM($T$12:T298))</f>
        <v/>
      </c>
      <c r="W298" s="45" t="str">
        <f t="shared" ca="1" si="35"/>
        <v/>
      </c>
    </row>
    <row r="299" spans="3:23" x14ac:dyDescent="0.35">
      <c r="C299" s="42" t="str">
        <f>IF(OR(Overview!$D$33="",Overview!$E$33=""),"",IF(Overview!$D$33+287&gt;Overview!$E$33,"",Overview!$D$33+287))</f>
        <v/>
      </c>
      <c r="D299" s="43" t="str">
        <f t="shared" ca="1" si="38"/>
        <v/>
      </c>
      <c r="E299" s="43" t="str">
        <f t="shared" ca="1" si="38"/>
        <v/>
      </c>
      <c r="F299" s="43" t="str">
        <f t="shared" ca="1" si="38"/>
        <v/>
      </c>
      <c r="G299" s="43" t="str">
        <f t="shared" ca="1" si="38"/>
        <v/>
      </c>
      <c r="H299" s="43" t="str">
        <f t="shared" ca="1" si="38"/>
        <v/>
      </c>
      <c r="I299" s="43" t="str">
        <f t="shared" ca="1" si="38"/>
        <v/>
      </c>
      <c r="J299" s="43" t="str">
        <f t="shared" ca="1" si="38"/>
        <v/>
      </c>
      <c r="K299" s="43" t="str">
        <f t="shared" ca="1" si="38"/>
        <v/>
      </c>
      <c r="L299" s="43" t="str">
        <f t="shared" ca="1" si="38"/>
        <v/>
      </c>
      <c r="M299" s="43" t="str">
        <f t="shared" ca="1" si="38"/>
        <v/>
      </c>
      <c r="N299" s="43" t="str">
        <f t="shared" ca="1" si="38"/>
        <v/>
      </c>
      <c r="O299" s="43" t="str">
        <f t="shared" ca="1" si="38"/>
        <v/>
      </c>
      <c r="P299" s="43" t="str">
        <f t="shared" ca="1" si="38"/>
        <v/>
      </c>
      <c r="Q299" s="43" t="str">
        <f t="shared" ca="1" si="38"/>
        <v/>
      </c>
      <c r="R299" s="43" t="str">
        <f t="shared" ca="1" si="38"/>
        <v/>
      </c>
      <c r="S299" s="44" t="str">
        <f t="shared" si="34"/>
        <v/>
      </c>
      <c r="T299" s="43" t="str">
        <f>IF($C299="","",SUMIFS(Overview!$G$18:$G$32,Overview!$D$18:$D$32,"&lt;="&amp;$C299,Overview!$E$18:$E$32,"&gt;="&amp;$C299))</f>
        <v/>
      </c>
      <c r="U299" s="43" t="str">
        <f ca="1">IF(OR($C299="",Overview!$I$33=""),"",IF($C299&gt;Overview!$I$33,"",SUM($S$12:S299)))</f>
        <v/>
      </c>
      <c r="V299" s="43" t="str">
        <f>IF($C299="","",SUM($T$12:T299))</f>
        <v/>
      </c>
      <c r="W299" s="45" t="str">
        <f t="shared" ca="1" si="35"/>
        <v/>
      </c>
    </row>
    <row r="300" spans="3:23" x14ac:dyDescent="0.35">
      <c r="C300" s="42" t="str">
        <f>IF(OR(Overview!$D$33="",Overview!$E$33=""),"",IF(Overview!$D$33+288&gt;Overview!$E$33,"",Overview!$D$33+288))</f>
        <v/>
      </c>
      <c r="D300" s="43" t="str">
        <f t="shared" ca="1" si="38"/>
        <v/>
      </c>
      <c r="E300" s="43" t="str">
        <f t="shared" ca="1" si="38"/>
        <v/>
      </c>
      <c r="F300" s="43" t="str">
        <f t="shared" ca="1" si="38"/>
        <v/>
      </c>
      <c r="G300" s="43" t="str">
        <f t="shared" ca="1" si="38"/>
        <v/>
      </c>
      <c r="H300" s="43" t="str">
        <f t="shared" ca="1" si="38"/>
        <v/>
      </c>
      <c r="I300" s="43" t="str">
        <f t="shared" ca="1" si="38"/>
        <v/>
      </c>
      <c r="J300" s="43" t="str">
        <f t="shared" ca="1" si="38"/>
        <v/>
      </c>
      <c r="K300" s="43" t="str">
        <f t="shared" ca="1" si="38"/>
        <v/>
      </c>
      <c r="L300" s="43" t="str">
        <f t="shared" ca="1" si="38"/>
        <v/>
      </c>
      <c r="M300" s="43" t="str">
        <f t="shared" ca="1" si="38"/>
        <v/>
      </c>
      <c r="N300" s="43" t="str">
        <f t="shared" ca="1" si="38"/>
        <v/>
      </c>
      <c r="O300" s="43" t="str">
        <f t="shared" ca="1" si="38"/>
        <v/>
      </c>
      <c r="P300" s="43" t="str">
        <f t="shared" ca="1" si="38"/>
        <v/>
      </c>
      <c r="Q300" s="43" t="str">
        <f t="shared" ca="1" si="38"/>
        <v/>
      </c>
      <c r="R300" s="43" t="str">
        <f t="shared" ca="1" si="38"/>
        <v/>
      </c>
      <c r="S300" s="44" t="str">
        <f t="shared" si="34"/>
        <v/>
      </c>
      <c r="T300" s="43" t="str">
        <f>IF($C300="","",SUMIFS(Overview!$G$18:$G$32,Overview!$D$18:$D$32,"&lt;="&amp;$C300,Overview!$E$18:$E$32,"&gt;="&amp;$C300))</f>
        <v/>
      </c>
      <c r="U300" s="43" t="str">
        <f ca="1">IF(OR($C300="",Overview!$I$33=""),"",IF($C300&gt;Overview!$I$33,"",SUM($S$12:S300)))</f>
        <v/>
      </c>
      <c r="V300" s="43" t="str">
        <f>IF($C300="","",SUM($T$12:T300))</f>
        <v/>
      </c>
      <c r="W300" s="45" t="str">
        <f t="shared" ca="1" si="35"/>
        <v/>
      </c>
    </row>
    <row r="301" spans="3:23" x14ac:dyDescent="0.35">
      <c r="C301" s="42" t="str">
        <f>IF(OR(Overview!$D$33="",Overview!$E$33=""),"",IF(Overview!$D$33+289&gt;Overview!$E$33,"",Overview!$D$33+289))</f>
        <v/>
      </c>
      <c r="D301" s="43" t="str">
        <f t="shared" ca="1" si="38"/>
        <v/>
      </c>
      <c r="E301" s="43" t="str">
        <f t="shared" ca="1" si="38"/>
        <v/>
      </c>
      <c r="F301" s="43" t="str">
        <f t="shared" ca="1" si="38"/>
        <v/>
      </c>
      <c r="G301" s="43" t="str">
        <f t="shared" ca="1" si="38"/>
        <v/>
      </c>
      <c r="H301" s="43" t="str">
        <f t="shared" ca="1" si="38"/>
        <v/>
      </c>
      <c r="I301" s="43" t="str">
        <f t="shared" ca="1" si="38"/>
        <v/>
      </c>
      <c r="J301" s="43" t="str">
        <f t="shared" ca="1" si="38"/>
        <v/>
      </c>
      <c r="K301" s="43" t="str">
        <f t="shared" ca="1" si="38"/>
        <v/>
      </c>
      <c r="L301" s="43" t="str">
        <f t="shared" ca="1" si="38"/>
        <v/>
      </c>
      <c r="M301" s="43" t="str">
        <f t="shared" ca="1" si="38"/>
        <v/>
      </c>
      <c r="N301" s="43" t="str">
        <f t="shared" ca="1" si="38"/>
        <v/>
      </c>
      <c r="O301" s="43" t="str">
        <f t="shared" ca="1" si="38"/>
        <v/>
      </c>
      <c r="P301" s="43" t="str">
        <f t="shared" ca="1" si="38"/>
        <v/>
      </c>
      <c r="Q301" s="43" t="str">
        <f t="shared" ca="1" si="38"/>
        <v/>
      </c>
      <c r="R301" s="43" t="str">
        <f t="shared" ca="1" si="38"/>
        <v/>
      </c>
      <c r="S301" s="44" t="str">
        <f t="shared" si="34"/>
        <v/>
      </c>
      <c r="T301" s="43" t="str">
        <f>IF($C301="","",SUMIFS(Overview!$G$18:$G$32,Overview!$D$18:$D$32,"&lt;="&amp;$C301,Overview!$E$18:$E$32,"&gt;="&amp;$C301))</f>
        <v/>
      </c>
      <c r="U301" s="43" t="str">
        <f ca="1">IF(OR($C301="",Overview!$I$33=""),"",IF($C301&gt;Overview!$I$33,"",SUM($S$12:S301)))</f>
        <v/>
      </c>
      <c r="V301" s="43" t="str">
        <f>IF($C301="","",SUM($T$12:T301))</f>
        <v/>
      </c>
      <c r="W301" s="45" t="str">
        <f t="shared" ca="1" si="35"/>
        <v/>
      </c>
    </row>
    <row r="302" spans="3:23" x14ac:dyDescent="0.35">
      <c r="C302" s="42" t="str">
        <f>IF(OR(Overview!$D$33="",Overview!$E$33=""),"",IF(Overview!$D$33+290&gt;Overview!$E$33,"",Overview!$D$33+290))</f>
        <v/>
      </c>
      <c r="D302" s="43" t="str">
        <f t="shared" ref="D302:R311" ca="1" si="39">IF(OR($C302="",D$11=""),"",IFERROR(SUMIFS(INDIRECT("'"&amp;D$11&amp;"'!$F$14:$F$10013"),INDIRECT("'"&amp;D$11&amp;"'!$C$14:$C$10013"),$C302),""))</f>
        <v/>
      </c>
      <c r="E302" s="43" t="str">
        <f t="shared" ca="1" si="39"/>
        <v/>
      </c>
      <c r="F302" s="43" t="str">
        <f t="shared" ca="1" si="39"/>
        <v/>
      </c>
      <c r="G302" s="43" t="str">
        <f t="shared" ca="1" si="39"/>
        <v/>
      </c>
      <c r="H302" s="43" t="str">
        <f t="shared" ca="1" si="39"/>
        <v/>
      </c>
      <c r="I302" s="43" t="str">
        <f t="shared" ca="1" si="39"/>
        <v/>
      </c>
      <c r="J302" s="43" t="str">
        <f t="shared" ca="1" si="39"/>
        <v/>
      </c>
      <c r="K302" s="43" t="str">
        <f t="shared" ca="1" si="39"/>
        <v/>
      </c>
      <c r="L302" s="43" t="str">
        <f t="shared" ca="1" si="39"/>
        <v/>
      </c>
      <c r="M302" s="43" t="str">
        <f t="shared" ca="1" si="39"/>
        <v/>
      </c>
      <c r="N302" s="43" t="str">
        <f t="shared" ca="1" si="39"/>
        <v/>
      </c>
      <c r="O302" s="43" t="str">
        <f t="shared" ca="1" si="39"/>
        <v/>
      </c>
      <c r="P302" s="43" t="str">
        <f t="shared" ca="1" si="39"/>
        <v/>
      </c>
      <c r="Q302" s="43" t="str">
        <f t="shared" ca="1" si="39"/>
        <v/>
      </c>
      <c r="R302" s="43" t="str">
        <f t="shared" ca="1" si="39"/>
        <v/>
      </c>
      <c r="S302" s="44" t="str">
        <f t="shared" si="34"/>
        <v/>
      </c>
      <c r="T302" s="43" t="str">
        <f>IF($C302="","",SUMIFS(Overview!$G$18:$G$32,Overview!$D$18:$D$32,"&lt;="&amp;$C302,Overview!$E$18:$E$32,"&gt;="&amp;$C302))</f>
        <v/>
      </c>
      <c r="U302" s="43" t="str">
        <f ca="1">IF(OR($C302="",Overview!$I$33=""),"",IF($C302&gt;Overview!$I$33,"",SUM($S$12:S302)))</f>
        <v/>
      </c>
      <c r="V302" s="43" t="str">
        <f>IF($C302="","",SUM($T$12:T302))</f>
        <v/>
      </c>
      <c r="W302" s="45" t="str">
        <f t="shared" ca="1" si="35"/>
        <v/>
      </c>
    </row>
    <row r="303" spans="3:23" x14ac:dyDescent="0.35">
      <c r="C303" s="42" t="str">
        <f>IF(OR(Overview!$D$33="",Overview!$E$33=""),"",IF(Overview!$D$33+291&gt;Overview!$E$33,"",Overview!$D$33+291))</f>
        <v/>
      </c>
      <c r="D303" s="43" t="str">
        <f t="shared" ca="1" si="39"/>
        <v/>
      </c>
      <c r="E303" s="43" t="str">
        <f t="shared" ca="1" si="39"/>
        <v/>
      </c>
      <c r="F303" s="43" t="str">
        <f t="shared" ca="1" si="39"/>
        <v/>
      </c>
      <c r="G303" s="43" t="str">
        <f t="shared" ca="1" si="39"/>
        <v/>
      </c>
      <c r="H303" s="43" t="str">
        <f t="shared" ca="1" si="39"/>
        <v/>
      </c>
      <c r="I303" s="43" t="str">
        <f t="shared" ca="1" si="39"/>
        <v/>
      </c>
      <c r="J303" s="43" t="str">
        <f t="shared" ca="1" si="39"/>
        <v/>
      </c>
      <c r="K303" s="43" t="str">
        <f t="shared" ca="1" si="39"/>
        <v/>
      </c>
      <c r="L303" s="43" t="str">
        <f t="shared" ca="1" si="39"/>
        <v/>
      </c>
      <c r="M303" s="43" t="str">
        <f t="shared" ca="1" si="39"/>
        <v/>
      </c>
      <c r="N303" s="43" t="str">
        <f t="shared" ca="1" si="39"/>
        <v/>
      </c>
      <c r="O303" s="43" t="str">
        <f t="shared" ca="1" si="39"/>
        <v/>
      </c>
      <c r="P303" s="43" t="str">
        <f t="shared" ca="1" si="39"/>
        <v/>
      </c>
      <c r="Q303" s="43" t="str">
        <f t="shared" ca="1" si="39"/>
        <v/>
      </c>
      <c r="R303" s="43" t="str">
        <f t="shared" ca="1" si="39"/>
        <v/>
      </c>
      <c r="S303" s="44" t="str">
        <f t="shared" si="34"/>
        <v/>
      </c>
      <c r="T303" s="43" t="str">
        <f>IF($C303="","",SUMIFS(Overview!$G$18:$G$32,Overview!$D$18:$D$32,"&lt;="&amp;$C303,Overview!$E$18:$E$32,"&gt;="&amp;$C303))</f>
        <v/>
      </c>
      <c r="U303" s="43" t="str">
        <f ca="1">IF(OR($C303="",Overview!$I$33=""),"",IF($C303&gt;Overview!$I$33,"",SUM($S$12:S303)))</f>
        <v/>
      </c>
      <c r="V303" s="43" t="str">
        <f>IF($C303="","",SUM($T$12:T303))</f>
        <v/>
      </c>
      <c r="W303" s="45" t="str">
        <f t="shared" ca="1" si="35"/>
        <v/>
      </c>
    </row>
    <row r="304" spans="3:23" x14ac:dyDescent="0.35">
      <c r="C304" s="42" t="str">
        <f>IF(OR(Overview!$D$33="",Overview!$E$33=""),"",IF(Overview!$D$33+292&gt;Overview!$E$33,"",Overview!$D$33+292))</f>
        <v/>
      </c>
      <c r="D304" s="43" t="str">
        <f t="shared" ca="1" si="39"/>
        <v/>
      </c>
      <c r="E304" s="43" t="str">
        <f t="shared" ca="1" si="39"/>
        <v/>
      </c>
      <c r="F304" s="43" t="str">
        <f t="shared" ca="1" si="39"/>
        <v/>
      </c>
      <c r="G304" s="43" t="str">
        <f t="shared" ca="1" si="39"/>
        <v/>
      </c>
      <c r="H304" s="43" t="str">
        <f t="shared" ca="1" si="39"/>
        <v/>
      </c>
      <c r="I304" s="43" t="str">
        <f t="shared" ca="1" si="39"/>
        <v/>
      </c>
      <c r="J304" s="43" t="str">
        <f t="shared" ca="1" si="39"/>
        <v/>
      </c>
      <c r="K304" s="43" t="str">
        <f t="shared" ca="1" si="39"/>
        <v/>
      </c>
      <c r="L304" s="43" t="str">
        <f t="shared" ca="1" si="39"/>
        <v/>
      </c>
      <c r="M304" s="43" t="str">
        <f t="shared" ca="1" si="39"/>
        <v/>
      </c>
      <c r="N304" s="43" t="str">
        <f t="shared" ca="1" si="39"/>
        <v/>
      </c>
      <c r="O304" s="43" t="str">
        <f t="shared" ca="1" si="39"/>
        <v/>
      </c>
      <c r="P304" s="43" t="str">
        <f t="shared" ca="1" si="39"/>
        <v/>
      </c>
      <c r="Q304" s="43" t="str">
        <f t="shared" ca="1" si="39"/>
        <v/>
      </c>
      <c r="R304" s="43" t="str">
        <f t="shared" ca="1" si="39"/>
        <v/>
      </c>
      <c r="S304" s="44" t="str">
        <f t="shared" si="34"/>
        <v/>
      </c>
      <c r="T304" s="43" t="str">
        <f>IF($C304="","",SUMIFS(Overview!$G$18:$G$32,Overview!$D$18:$D$32,"&lt;="&amp;$C304,Overview!$E$18:$E$32,"&gt;="&amp;$C304))</f>
        <v/>
      </c>
      <c r="U304" s="43" t="str">
        <f ca="1">IF(OR($C304="",Overview!$I$33=""),"",IF($C304&gt;Overview!$I$33,"",SUM($S$12:S304)))</f>
        <v/>
      </c>
      <c r="V304" s="43" t="str">
        <f>IF($C304="","",SUM($T$12:T304))</f>
        <v/>
      </c>
      <c r="W304" s="45" t="str">
        <f t="shared" ca="1" si="35"/>
        <v/>
      </c>
    </row>
    <row r="305" spans="3:23" x14ac:dyDescent="0.35">
      <c r="C305" s="42" t="str">
        <f>IF(OR(Overview!$D$33="",Overview!$E$33=""),"",IF(Overview!$D$33+293&gt;Overview!$E$33,"",Overview!$D$33+293))</f>
        <v/>
      </c>
      <c r="D305" s="43" t="str">
        <f t="shared" ca="1" si="39"/>
        <v/>
      </c>
      <c r="E305" s="43" t="str">
        <f t="shared" ca="1" si="39"/>
        <v/>
      </c>
      <c r="F305" s="43" t="str">
        <f t="shared" ca="1" si="39"/>
        <v/>
      </c>
      <c r="G305" s="43" t="str">
        <f t="shared" ca="1" si="39"/>
        <v/>
      </c>
      <c r="H305" s="43" t="str">
        <f t="shared" ca="1" si="39"/>
        <v/>
      </c>
      <c r="I305" s="43" t="str">
        <f t="shared" ca="1" si="39"/>
        <v/>
      </c>
      <c r="J305" s="43" t="str">
        <f t="shared" ca="1" si="39"/>
        <v/>
      </c>
      <c r="K305" s="43" t="str">
        <f t="shared" ca="1" si="39"/>
        <v/>
      </c>
      <c r="L305" s="43" t="str">
        <f t="shared" ca="1" si="39"/>
        <v/>
      </c>
      <c r="M305" s="43" t="str">
        <f t="shared" ca="1" si="39"/>
        <v/>
      </c>
      <c r="N305" s="43" t="str">
        <f t="shared" ca="1" si="39"/>
        <v/>
      </c>
      <c r="O305" s="43" t="str">
        <f t="shared" ca="1" si="39"/>
        <v/>
      </c>
      <c r="P305" s="43" t="str">
        <f t="shared" ca="1" si="39"/>
        <v/>
      </c>
      <c r="Q305" s="43" t="str">
        <f t="shared" ca="1" si="39"/>
        <v/>
      </c>
      <c r="R305" s="43" t="str">
        <f t="shared" ca="1" si="39"/>
        <v/>
      </c>
      <c r="S305" s="44" t="str">
        <f t="shared" si="34"/>
        <v/>
      </c>
      <c r="T305" s="43" t="str">
        <f>IF($C305="","",SUMIFS(Overview!$G$18:$G$32,Overview!$D$18:$D$32,"&lt;="&amp;$C305,Overview!$E$18:$E$32,"&gt;="&amp;$C305))</f>
        <v/>
      </c>
      <c r="U305" s="43" t="str">
        <f ca="1">IF(OR($C305="",Overview!$I$33=""),"",IF($C305&gt;Overview!$I$33,"",SUM($S$12:S305)))</f>
        <v/>
      </c>
      <c r="V305" s="43" t="str">
        <f>IF($C305="","",SUM($T$12:T305))</f>
        <v/>
      </c>
      <c r="W305" s="45" t="str">
        <f t="shared" ca="1" si="35"/>
        <v/>
      </c>
    </row>
    <row r="306" spans="3:23" x14ac:dyDescent="0.35">
      <c r="C306" s="42" t="str">
        <f>IF(OR(Overview!$D$33="",Overview!$E$33=""),"",IF(Overview!$D$33+294&gt;Overview!$E$33,"",Overview!$D$33+294))</f>
        <v/>
      </c>
      <c r="D306" s="43" t="str">
        <f t="shared" ca="1" si="39"/>
        <v/>
      </c>
      <c r="E306" s="43" t="str">
        <f t="shared" ca="1" si="39"/>
        <v/>
      </c>
      <c r="F306" s="43" t="str">
        <f t="shared" ca="1" si="39"/>
        <v/>
      </c>
      <c r="G306" s="43" t="str">
        <f t="shared" ca="1" si="39"/>
        <v/>
      </c>
      <c r="H306" s="43" t="str">
        <f t="shared" ca="1" si="39"/>
        <v/>
      </c>
      <c r="I306" s="43" t="str">
        <f t="shared" ca="1" si="39"/>
        <v/>
      </c>
      <c r="J306" s="43" t="str">
        <f t="shared" ca="1" si="39"/>
        <v/>
      </c>
      <c r="K306" s="43" t="str">
        <f t="shared" ca="1" si="39"/>
        <v/>
      </c>
      <c r="L306" s="43" t="str">
        <f t="shared" ca="1" si="39"/>
        <v/>
      </c>
      <c r="M306" s="43" t="str">
        <f t="shared" ca="1" si="39"/>
        <v/>
      </c>
      <c r="N306" s="43" t="str">
        <f t="shared" ca="1" si="39"/>
        <v/>
      </c>
      <c r="O306" s="43" t="str">
        <f t="shared" ca="1" si="39"/>
        <v/>
      </c>
      <c r="P306" s="43" t="str">
        <f t="shared" ca="1" si="39"/>
        <v/>
      </c>
      <c r="Q306" s="43" t="str">
        <f t="shared" ca="1" si="39"/>
        <v/>
      </c>
      <c r="R306" s="43" t="str">
        <f t="shared" ca="1" si="39"/>
        <v/>
      </c>
      <c r="S306" s="44" t="str">
        <f t="shared" si="34"/>
        <v/>
      </c>
      <c r="T306" s="43" t="str">
        <f>IF($C306="","",SUMIFS(Overview!$G$18:$G$32,Overview!$D$18:$D$32,"&lt;="&amp;$C306,Overview!$E$18:$E$32,"&gt;="&amp;$C306))</f>
        <v/>
      </c>
      <c r="U306" s="43" t="str">
        <f ca="1">IF(OR($C306="",Overview!$I$33=""),"",IF($C306&gt;Overview!$I$33,"",SUM($S$12:S306)))</f>
        <v/>
      </c>
      <c r="V306" s="43" t="str">
        <f>IF($C306="","",SUM($T$12:T306))</f>
        <v/>
      </c>
      <c r="W306" s="45" t="str">
        <f t="shared" ca="1" si="35"/>
        <v/>
      </c>
    </row>
    <row r="307" spans="3:23" x14ac:dyDescent="0.35">
      <c r="C307" s="42" t="str">
        <f>IF(OR(Overview!$D$33="",Overview!$E$33=""),"",IF(Overview!$D$33+295&gt;Overview!$E$33,"",Overview!$D$33+295))</f>
        <v/>
      </c>
      <c r="D307" s="43" t="str">
        <f t="shared" ca="1" si="39"/>
        <v/>
      </c>
      <c r="E307" s="43" t="str">
        <f t="shared" ca="1" si="39"/>
        <v/>
      </c>
      <c r="F307" s="43" t="str">
        <f t="shared" ca="1" si="39"/>
        <v/>
      </c>
      <c r="G307" s="43" t="str">
        <f t="shared" ca="1" si="39"/>
        <v/>
      </c>
      <c r="H307" s="43" t="str">
        <f t="shared" ca="1" si="39"/>
        <v/>
      </c>
      <c r="I307" s="43" t="str">
        <f t="shared" ca="1" si="39"/>
        <v/>
      </c>
      <c r="J307" s="43" t="str">
        <f t="shared" ca="1" si="39"/>
        <v/>
      </c>
      <c r="K307" s="43" t="str">
        <f t="shared" ca="1" si="39"/>
        <v/>
      </c>
      <c r="L307" s="43" t="str">
        <f t="shared" ca="1" si="39"/>
        <v/>
      </c>
      <c r="M307" s="43" t="str">
        <f t="shared" ca="1" si="39"/>
        <v/>
      </c>
      <c r="N307" s="43" t="str">
        <f t="shared" ca="1" si="39"/>
        <v/>
      </c>
      <c r="O307" s="43" t="str">
        <f t="shared" ca="1" si="39"/>
        <v/>
      </c>
      <c r="P307" s="43" t="str">
        <f t="shared" ca="1" si="39"/>
        <v/>
      </c>
      <c r="Q307" s="43" t="str">
        <f t="shared" ca="1" si="39"/>
        <v/>
      </c>
      <c r="R307" s="43" t="str">
        <f t="shared" ca="1" si="39"/>
        <v/>
      </c>
      <c r="S307" s="44" t="str">
        <f t="shared" si="34"/>
        <v/>
      </c>
      <c r="T307" s="43" t="str">
        <f>IF($C307="","",SUMIFS(Overview!$G$18:$G$32,Overview!$D$18:$D$32,"&lt;="&amp;$C307,Overview!$E$18:$E$32,"&gt;="&amp;$C307))</f>
        <v/>
      </c>
      <c r="U307" s="43" t="str">
        <f ca="1">IF(OR($C307="",Overview!$I$33=""),"",IF($C307&gt;Overview!$I$33,"",SUM($S$12:S307)))</f>
        <v/>
      </c>
      <c r="V307" s="43" t="str">
        <f>IF($C307="","",SUM($T$12:T307))</f>
        <v/>
      </c>
      <c r="W307" s="45" t="str">
        <f t="shared" ca="1" si="35"/>
        <v/>
      </c>
    </row>
    <row r="308" spans="3:23" x14ac:dyDescent="0.35">
      <c r="C308" s="42" t="str">
        <f>IF(OR(Overview!$D$33="",Overview!$E$33=""),"",IF(Overview!$D$33+296&gt;Overview!$E$33,"",Overview!$D$33+296))</f>
        <v/>
      </c>
      <c r="D308" s="43" t="str">
        <f t="shared" ca="1" si="39"/>
        <v/>
      </c>
      <c r="E308" s="43" t="str">
        <f t="shared" ca="1" si="39"/>
        <v/>
      </c>
      <c r="F308" s="43" t="str">
        <f t="shared" ca="1" si="39"/>
        <v/>
      </c>
      <c r="G308" s="43" t="str">
        <f t="shared" ca="1" si="39"/>
        <v/>
      </c>
      <c r="H308" s="43" t="str">
        <f t="shared" ca="1" si="39"/>
        <v/>
      </c>
      <c r="I308" s="43" t="str">
        <f t="shared" ca="1" si="39"/>
        <v/>
      </c>
      <c r="J308" s="43" t="str">
        <f t="shared" ca="1" si="39"/>
        <v/>
      </c>
      <c r="K308" s="43" t="str">
        <f t="shared" ca="1" si="39"/>
        <v/>
      </c>
      <c r="L308" s="43" t="str">
        <f t="shared" ca="1" si="39"/>
        <v/>
      </c>
      <c r="M308" s="43" t="str">
        <f t="shared" ca="1" si="39"/>
        <v/>
      </c>
      <c r="N308" s="43" t="str">
        <f t="shared" ca="1" si="39"/>
        <v/>
      </c>
      <c r="O308" s="43" t="str">
        <f t="shared" ca="1" si="39"/>
        <v/>
      </c>
      <c r="P308" s="43" t="str">
        <f t="shared" ca="1" si="39"/>
        <v/>
      </c>
      <c r="Q308" s="43" t="str">
        <f t="shared" ca="1" si="39"/>
        <v/>
      </c>
      <c r="R308" s="43" t="str">
        <f t="shared" ca="1" si="39"/>
        <v/>
      </c>
      <c r="S308" s="44" t="str">
        <f t="shared" si="34"/>
        <v/>
      </c>
      <c r="T308" s="43" t="str">
        <f>IF($C308="","",SUMIFS(Overview!$G$18:$G$32,Overview!$D$18:$D$32,"&lt;="&amp;$C308,Overview!$E$18:$E$32,"&gt;="&amp;$C308))</f>
        <v/>
      </c>
      <c r="U308" s="43" t="str">
        <f ca="1">IF(OR($C308="",Overview!$I$33=""),"",IF($C308&gt;Overview!$I$33,"",SUM($S$12:S308)))</f>
        <v/>
      </c>
      <c r="V308" s="43" t="str">
        <f>IF($C308="","",SUM($T$12:T308))</f>
        <v/>
      </c>
      <c r="W308" s="45" t="str">
        <f t="shared" ca="1" si="35"/>
        <v/>
      </c>
    </row>
    <row r="309" spans="3:23" x14ac:dyDescent="0.35">
      <c r="C309" s="42" t="str">
        <f>IF(OR(Overview!$D$33="",Overview!$E$33=""),"",IF(Overview!$D$33+297&gt;Overview!$E$33,"",Overview!$D$33+297))</f>
        <v/>
      </c>
      <c r="D309" s="43" t="str">
        <f t="shared" ca="1" si="39"/>
        <v/>
      </c>
      <c r="E309" s="43" t="str">
        <f t="shared" ca="1" si="39"/>
        <v/>
      </c>
      <c r="F309" s="43" t="str">
        <f t="shared" ca="1" si="39"/>
        <v/>
      </c>
      <c r="G309" s="43" t="str">
        <f t="shared" ca="1" si="39"/>
        <v/>
      </c>
      <c r="H309" s="43" t="str">
        <f t="shared" ca="1" si="39"/>
        <v/>
      </c>
      <c r="I309" s="43" t="str">
        <f t="shared" ca="1" si="39"/>
        <v/>
      </c>
      <c r="J309" s="43" t="str">
        <f t="shared" ca="1" si="39"/>
        <v/>
      </c>
      <c r="K309" s="43" t="str">
        <f t="shared" ca="1" si="39"/>
        <v/>
      </c>
      <c r="L309" s="43" t="str">
        <f t="shared" ca="1" si="39"/>
        <v/>
      </c>
      <c r="M309" s="43" t="str">
        <f t="shared" ca="1" si="39"/>
        <v/>
      </c>
      <c r="N309" s="43" t="str">
        <f t="shared" ca="1" si="39"/>
        <v/>
      </c>
      <c r="O309" s="43" t="str">
        <f t="shared" ca="1" si="39"/>
        <v/>
      </c>
      <c r="P309" s="43" t="str">
        <f t="shared" ca="1" si="39"/>
        <v/>
      </c>
      <c r="Q309" s="43" t="str">
        <f t="shared" ca="1" si="39"/>
        <v/>
      </c>
      <c r="R309" s="43" t="str">
        <f t="shared" ca="1" si="39"/>
        <v/>
      </c>
      <c r="S309" s="44" t="str">
        <f t="shared" si="34"/>
        <v/>
      </c>
      <c r="T309" s="43" t="str">
        <f>IF($C309="","",SUMIFS(Overview!$G$18:$G$32,Overview!$D$18:$D$32,"&lt;="&amp;$C309,Overview!$E$18:$E$32,"&gt;="&amp;$C309))</f>
        <v/>
      </c>
      <c r="U309" s="43" t="str">
        <f ca="1">IF(OR($C309="",Overview!$I$33=""),"",IF($C309&gt;Overview!$I$33,"",SUM($S$12:S309)))</f>
        <v/>
      </c>
      <c r="V309" s="43" t="str">
        <f>IF($C309="","",SUM($T$12:T309))</f>
        <v/>
      </c>
      <c r="W309" s="45" t="str">
        <f t="shared" ca="1" si="35"/>
        <v/>
      </c>
    </row>
    <row r="310" spans="3:23" x14ac:dyDescent="0.35">
      <c r="C310" s="42" t="str">
        <f>IF(OR(Overview!$D$33="",Overview!$E$33=""),"",IF(Overview!$D$33+298&gt;Overview!$E$33,"",Overview!$D$33+298))</f>
        <v/>
      </c>
      <c r="D310" s="43" t="str">
        <f t="shared" ca="1" si="39"/>
        <v/>
      </c>
      <c r="E310" s="43" t="str">
        <f t="shared" ca="1" si="39"/>
        <v/>
      </c>
      <c r="F310" s="43" t="str">
        <f t="shared" ca="1" si="39"/>
        <v/>
      </c>
      <c r="G310" s="43" t="str">
        <f t="shared" ca="1" si="39"/>
        <v/>
      </c>
      <c r="H310" s="43" t="str">
        <f t="shared" ca="1" si="39"/>
        <v/>
      </c>
      <c r="I310" s="43" t="str">
        <f t="shared" ca="1" si="39"/>
        <v/>
      </c>
      <c r="J310" s="43" t="str">
        <f t="shared" ca="1" si="39"/>
        <v/>
      </c>
      <c r="K310" s="43" t="str">
        <f t="shared" ca="1" si="39"/>
        <v/>
      </c>
      <c r="L310" s="43" t="str">
        <f t="shared" ca="1" si="39"/>
        <v/>
      </c>
      <c r="M310" s="43" t="str">
        <f t="shared" ca="1" si="39"/>
        <v/>
      </c>
      <c r="N310" s="43" t="str">
        <f t="shared" ca="1" si="39"/>
        <v/>
      </c>
      <c r="O310" s="43" t="str">
        <f t="shared" ca="1" si="39"/>
        <v/>
      </c>
      <c r="P310" s="43" t="str">
        <f t="shared" ca="1" si="39"/>
        <v/>
      </c>
      <c r="Q310" s="43" t="str">
        <f t="shared" ca="1" si="39"/>
        <v/>
      </c>
      <c r="R310" s="43" t="str">
        <f t="shared" ca="1" si="39"/>
        <v/>
      </c>
      <c r="S310" s="44" t="str">
        <f t="shared" si="34"/>
        <v/>
      </c>
      <c r="T310" s="43" t="str">
        <f>IF($C310="","",SUMIFS(Overview!$G$18:$G$32,Overview!$D$18:$D$32,"&lt;="&amp;$C310,Overview!$E$18:$E$32,"&gt;="&amp;$C310))</f>
        <v/>
      </c>
      <c r="U310" s="43" t="str">
        <f ca="1">IF(OR($C310="",Overview!$I$33=""),"",IF($C310&gt;Overview!$I$33,"",SUM($S$12:S310)))</f>
        <v/>
      </c>
      <c r="V310" s="43" t="str">
        <f>IF($C310="","",SUM($T$12:T310))</f>
        <v/>
      </c>
      <c r="W310" s="45" t="str">
        <f t="shared" ca="1" si="35"/>
        <v/>
      </c>
    </row>
    <row r="311" spans="3:23" x14ac:dyDescent="0.35">
      <c r="C311" s="42" t="str">
        <f>IF(OR(Overview!$D$33="",Overview!$E$33=""),"",IF(Overview!$D$33+299&gt;Overview!$E$33,"",Overview!$D$33+299))</f>
        <v/>
      </c>
      <c r="D311" s="43" t="str">
        <f t="shared" ca="1" si="39"/>
        <v/>
      </c>
      <c r="E311" s="43" t="str">
        <f t="shared" ca="1" si="39"/>
        <v/>
      </c>
      <c r="F311" s="43" t="str">
        <f t="shared" ca="1" si="39"/>
        <v/>
      </c>
      <c r="G311" s="43" t="str">
        <f t="shared" ca="1" si="39"/>
        <v/>
      </c>
      <c r="H311" s="43" t="str">
        <f t="shared" ca="1" si="39"/>
        <v/>
      </c>
      <c r="I311" s="43" t="str">
        <f t="shared" ca="1" si="39"/>
        <v/>
      </c>
      <c r="J311" s="43" t="str">
        <f t="shared" ca="1" si="39"/>
        <v/>
      </c>
      <c r="K311" s="43" t="str">
        <f t="shared" ca="1" si="39"/>
        <v/>
      </c>
      <c r="L311" s="43" t="str">
        <f t="shared" ca="1" si="39"/>
        <v/>
      </c>
      <c r="M311" s="43" t="str">
        <f t="shared" ca="1" si="39"/>
        <v/>
      </c>
      <c r="N311" s="43" t="str">
        <f t="shared" ca="1" si="39"/>
        <v/>
      </c>
      <c r="O311" s="43" t="str">
        <f t="shared" ca="1" si="39"/>
        <v/>
      </c>
      <c r="P311" s="43" t="str">
        <f t="shared" ca="1" si="39"/>
        <v/>
      </c>
      <c r="Q311" s="43" t="str">
        <f t="shared" ca="1" si="39"/>
        <v/>
      </c>
      <c r="R311" s="43" t="str">
        <f t="shared" ca="1" si="39"/>
        <v/>
      </c>
      <c r="S311" s="44" t="str">
        <f t="shared" si="34"/>
        <v/>
      </c>
      <c r="T311" s="43" t="str">
        <f>IF($C311="","",SUMIFS(Overview!$G$18:$G$32,Overview!$D$18:$D$32,"&lt;="&amp;$C311,Overview!$E$18:$E$32,"&gt;="&amp;$C311))</f>
        <v/>
      </c>
      <c r="U311" s="43" t="str">
        <f ca="1">IF(OR($C311="",Overview!$I$33=""),"",IF($C311&gt;Overview!$I$33,"",SUM($S$12:S311)))</f>
        <v/>
      </c>
      <c r="V311" s="43" t="str">
        <f>IF($C311="","",SUM($T$12:T311))</f>
        <v/>
      </c>
      <c r="W311" s="45" t="str">
        <f t="shared" ca="1" si="35"/>
        <v/>
      </c>
    </row>
    <row r="312" spans="3:23" x14ac:dyDescent="0.35">
      <c r="C312" s="42" t="str">
        <f>IF(OR(Overview!$D$33="",Overview!$E$33=""),"",IF(Overview!$D$33+300&gt;Overview!$E$33,"",Overview!$D$33+300))</f>
        <v/>
      </c>
      <c r="D312" s="43" t="str">
        <f t="shared" ref="D312:R321" ca="1" si="40">IF(OR($C312="",D$11=""),"",IFERROR(SUMIFS(INDIRECT("'"&amp;D$11&amp;"'!$F$14:$F$10013"),INDIRECT("'"&amp;D$11&amp;"'!$C$14:$C$10013"),$C312),""))</f>
        <v/>
      </c>
      <c r="E312" s="43" t="str">
        <f t="shared" ca="1" si="40"/>
        <v/>
      </c>
      <c r="F312" s="43" t="str">
        <f t="shared" ca="1" si="40"/>
        <v/>
      </c>
      <c r="G312" s="43" t="str">
        <f t="shared" ca="1" si="40"/>
        <v/>
      </c>
      <c r="H312" s="43" t="str">
        <f t="shared" ca="1" si="40"/>
        <v/>
      </c>
      <c r="I312" s="43" t="str">
        <f t="shared" ca="1" si="40"/>
        <v/>
      </c>
      <c r="J312" s="43" t="str">
        <f t="shared" ca="1" si="40"/>
        <v/>
      </c>
      <c r="K312" s="43" t="str">
        <f t="shared" ca="1" si="40"/>
        <v/>
      </c>
      <c r="L312" s="43" t="str">
        <f t="shared" ca="1" si="40"/>
        <v/>
      </c>
      <c r="M312" s="43" t="str">
        <f t="shared" ca="1" si="40"/>
        <v/>
      </c>
      <c r="N312" s="43" t="str">
        <f t="shared" ca="1" si="40"/>
        <v/>
      </c>
      <c r="O312" s="43" t="str">
        <f t="shared" ca="1" si="40"/>
        <v/>
      </c>
      <c r="P312" s="43" t="str">
        <f t="shared" ca="1" si="40"/>
        <v/>
      </c>
      <c r="Q312" s="43" t="str">
        <f t="shared" ca="1" si="40"/>
        <v/>
      </c>
      <c r="R312" s="43" t="str">
        <f t="shared" ca="1" si="40"/>
        <v/>
      </c>
      <c r="S312" s="44" t="str">
        <f t="shared" si="34"/>
        <v/>
      </c>
      <c r="T312" s="43" t="str">
        <f>IF($C312="","",SUMIFS(Overview!$G$18:$G$32,Overview!$D$18:$D$32,"&lt;="&amp;$C312,Overview!$E$18:$E$32,"&gt;="&amp;$C312))</f>
        <v/>
      </c>
      <c r="U312" s="43" t="str">
        <f ca="1">IF(OR($C312="",Overview!$I$33=""),"",IF($C312&gt;Overview!$I$33,"",SUM($S$12:S312)))</f>
        <v/>
      </c>
      <c r="V312" s="43" t="str">
        <f>IF($C312="","",SUM($T$12:T312))</f>
        <v/>
      </c>
      <c r="W312" s="45" t="str">
        <f t="shared" ca="1" si="35"/>
        <v/>
      </c>
    </row>
    <row r="313" spans="3:23" x14ac:dyDescent="0.35">
      <c r="C313" s="42" t="str">
        <f>IF(OR(Overview!$D$33="",Overview!$E$33=""),"",IF(Overview!$D$33+301&gt;Overview!$E$33,"",Overview!$D$33+301))</f>
        <v/>
      </c>
      <c r="D313" s="43" t="str">
        <f t="shared" ca="1" si="40"/>
        <v/>
      </c>
      <c r="E313" s="43" t="str">
        <f t="shared" ca="1" si="40"/>
        <v/>
      </c>
      <c r="F313" s="43" t="str">
        <f t="shared" ca="1" si="40"/>
        <v/>
      </c>
      <c r="G313" s="43" t="str">
        <f t="shared" ca="1" si="40"/>
        <v/>
      </c>
      <c r="H313" s="43" t="str">
        <f t="shared" ca="1" si="40"/>
        <v/>
      </c>
      <c r="I313" s="43" t="str">
        <f t="shared" ca="1" si="40"/>
        <v/>
      </c>
      <c r="J313" s="43" t="str">
        <f t="shared" ca="1" si="40"/>
        <v/>
      </c>
      <c r="K313" s="43" t="str">
        <f t="shared" ca="1" si="40"/>
        <v/>
      </c>
      <c r="L313" s="43" t="str">
        <f t="shared" ca="1" si="40"/>
        <v/>
      </c>
      <c r="M313" s="43" t="str">
        <f t="shared" ca="1" si="40"/>
        <v/>
      </c>
      <c r="N313" s="43" t="str">
        <f t="shared" ca="1" si="40"/>
        <v/>
      </c>
      <c r="O313" s="43" t="str">
        <f t="shared" ca="1" si="40"/>
        <v/>
      </c>
      <c r="P313" s="43" t="str">
        <f t="shared" ca="1" si="40"/>
        <v/>
      </c>
      <c r="Q313" s="43" t="str">
        <f t="shared" ca="1" si="40"/>
        <v/>
      </c>
      <c r="R313" s="43" t="str">
        <f t="shared" ca="1" si="40"/>
        <v/>
      </c>
      <c r="S313" s="44" t="str">
        <f t="shared" si="34"/>
        <v/>
      </c>
      <c r="T313" s="43" t="str">
        <f>IF($C313="","",SUMIFS(Overview!$G$18:$G$32,Overview!$D$18:$D$32,"&lt;="&amp;$C313,Overview!$E$18:$E$32,"&gt;="&amp;$C313))</f>
        <v/>
      </c>
      <c r="U313" s="43" t="str">
        <f ca="1">IF(OR($C313="",Overview!$I$33=""),"",IF($C313&gt;Overview!$I$33,"",SUM($S$12:S313)))</f>
        <v/>
      </c>
      <c r="V313" s="43" t="str">
        <f>IF($C313="","",SUM($T$12:T313))</f>
        <v/>
      </c>
      <c r="W313" s="45" t="str">
        <f t="shared" ca="1" si="35"/>
        <v/>
      </c>
    </row>
    <row r="314" spans="3:23" x14ac:dyDescent="0.35">
      <c r="C314" s="42" t="str">
        <f>IF(OR(Overview!$D$33="",Overview!$E$33=""),"",IF(Overview!$D$33+302&gt;Overview!$E$33,"",Overview!$D$33+302))</f>
        <v/>
      </c>
      <c r="D314" s="43" t="str">
        <f t="shared" ca="1" si="40"/>
        <v/>
      </c>
      <c r="E314" s="43" t="str">
        <f t="shared" ca="1" si="40"/>
        <v/>
      </c>
      <c r="F314" s="43" t="str">
        <f t="shared" ca="1" si="40"/>
        <v/>
      </c>
      <c r="G314" s="43" t="str">
        <f t="shared" ca="1" si="40"/>
        <v/>
      </c>
      <c r="H314" s="43" t="str">
        <f t="shared" ca="1" si="40"/>
        <v/>
      </c>
      <c r="I314" s="43" t="str">
        <f t="shared" ca="1" si="40"/>
        <v/>
      </c>
      <c r="J314" s="43" t="str">
        <f t="shared" ca="1" si="40"/>
        <v/>
      </c>
      <c r="K314" s="43" t="str">
        <f t="shared" ca="1" si="40"/>
        <v/>
      </c>
      <c r="L314" s="43" t="str">
        <f t="shared" ca="1" si="40"/>
        <v/>
      </c>
      <c r="M314" s="43" t="str">
        <f t="shared" ca="1" si="40"/>
        <v/>
      </c>
      <c r="N314" s="43" t="str">
        <f t="shared" ca="1" si="40"/>
        <v/>
      </c>
      <c r="O314" s="43" t="str">
        <f t="shared" ca="1" si="40"/>
        <v/>
      </c>
      <c r="P314" s="43" t="str">
        <f t="shared" ca="1" si="40"/>
        <v/>
      </c>
      <c r="Q314" s="43" t="str">
        <f t="shared" ca="1" si="40"/>
        <v/>
      </c>
      <c r="R314" s="43" t="str">
        <f t="shared" ca="1" si="40"/>
        <v/>
      </c>
      <c r="S314" s="44" t="str">
        <f t="shared" si="34"/>
        <v/>
      </c>
      <c r="T314" s="43" t="str">
        <f>IF($C314="","",SUMIFS(Overview!$G$18:$G$32,Overview!$D$18:$D$32,"&lt;="&amp;$C314,Overview!$E$18:$E$32,"&gt;="&amp;$C314))</f>
        <v/>
      </c>
      <c r="U314" s="43" t="str">
        <f ca="1">IF(OR($C314="",Overview!$I$33=""),"",IF($C314&gt;Overview!$I$33,"",SUM($S$12:S314)))</f>
        <v/>
      </c>
      <c r="V314" s="43" t="str">
        <f>IF($C314="","",SUM($T$12:T314))</f>
        <v/>
      </c>
      <c r="W314" s="45" t="str">
        <f t="shared" ca="1" si="35"/>
        <v/>
      </c>
    </row>
    <row r="315" spans="3:23" x14ac:dyDescent="0.35">
      <c r="C315" s="42" t="str">
        <f>IF(OR(Overview!$D$33="",Overview!$E$33=""),"",IF(Overview!$D$33+303&gt;Overview!$E$33,"",Overview!$D$33+303))</f>
        <v/>
      </c>
      <c r="D315" s="43" t="str">
        <f t="shared" ca="1" si="40"/>
        <v/>
      </c>
      <c r="E315" s="43" t="str">
        <f t="shared" ca="1" si="40"/>
        <v/>
      </c>
      <c r="F315" s="43" t="str">
        <f t="shared" ca="1" si="40"/>
        <v/>
      </c>
      <c r="G315" s="43" t="str">
        <f t="shared" ca="1" si="40"/>
        <v/>
      </c>
      <c r="H315" s="43" t="str">
        <f t="shared" ca="1" si="40"/>
        <v/>
      </c>
      <c r="I315" s="43" t="str">
        <f t="shared" ca="1" si="40"/>
        <v/>
      </c>
      <c r="J315" s="43" t="str">
        <f t="shared" ca="1" si="40"/>
        <v/>
      </c>
      <c r="K315" s="43" t="str">
        <f t="shared" ca="1" si="40"/>
        <v/>
      </c>
      <c r="L315" s="43" t="str">
        <f t="shared" ca="1" si="40"/>
        <v/>
      </c>
      <c r="M315" s="43" t="str">
        <f t="shared" ca="1" si="40"/>
        <v/>
      </c>
      <c r="N315" s="43" t="str">
        <f t="shared" ca="1" si="40"/>
        <v/>
      </c>
      <c r="O315" s="43" t="str">
        <f t="shared" ca="1" si="40"/>
        <v/>
      </c>
      <c r="P315" s="43" t="str">
        <f t="shared" ca="1" si="40"/>
        <v/>
      </c>
      <c r="Q315" s="43" t="str">
        <f t="shared" ca="1" si="40"/>
        <v/>
      </c>
      <c r="R315" s="43" t="str">
        <f t="shared" ca="1" si="40"/>
        <v/>
      </c>
      <c r="S315" s="44" t="str">
        <f t="shared" si="34"/>
        <v/>
      </c>
      <c r="T315" s="43" t="str">
        <f>IF($C315="","",SUMIFS(Overview!$G$18:$G$32,Overview!$D$18:$D$32,"&lt;="&amp;$C315,Overview!$E$18:$E$32,"&gt;="&amp;$C315))</f>
        <v/>
      </c>
      <c r="U315" s="43" t="str">
        <f ca="1">IF(OR($C315="",Overview!$I$33=""),"",IF($C315&gt;Overview!$I$33,"",SUM($S$12:S315)))</f>
        <v/>
      </c>
      <c r="V315" s="43" t="str">
        <f>IF($C315="","",SUM($T$12:T315))</f>
        <v/>
      </c>
      <c r="W315" s="45" t="str">
        <f t="shared" ca="1" si="35"/>
        <v/>
      </c>
    </row>
    <row r="316" spans="3:23" x14ac:dyDescent="0.35">
      <c r="C316" s="42" t="str">
        <f>IF(OR(Overview!$D$33="",Overview!$E$33=""),"",IF(Overview!$D$33+304&gt;Overview!$E$33,"",Overview!$D$33+304))</f>
        <v/>
      </c>
      <c r="D316" s="43" t="str">
        <f t="shared" ca="1" si="40"/>
        <v/>
      </c>
      <c r="E316" s="43" t="str">
        <f t="shared" ca="1" si="40"/>
        <v/>
      </c>
      <c r="F316" s="43" t="str">
        <f t="shared" ca="1" si="40"/>
        <v/>
      </c>
      <c r="G316" s="43" t="str">
        <f t="shared" ca="1" si="40"/>
        <v/>
      </c>
      <c r="H316" s="43" t="str">
        <f t="shared" ca="1" si="40"/>
        <v/>
      </c>
      <c r="I316" s="43" t="str">
        <f t="shared" ca="1" si="40"/>
        <v/>
      </c>
      <c r="J316" s="43" t="str">
        <f t="shared" ca="1" si="40"/>
        <v/>
      </c>
      <c r="K316" s="43" t="str">
        <f t="shared" ca="1" si="40"/>
        <v/>
      </c>
      <c r="L316" s="43" t="str">
        <f t="shared" ca="1" si="40"/>
        <v/>
      </c>
      <c r="M316" s="43" t="str">
        <f t="shared" ca="1" si="40"/>
        <v/>
      </c>
      <c r="N316" s="43" t="str">
        <f t="shared" ca="1" si="40"/>
        <v/>
      </c>
      <c r="O316" s="43" t="str">
        <f t="shared" ca="1" si="40"/>
        <v/>
      </c>
      <c r="P316" s="43" t="str">
        <f t="shared" ca="1" si="40"/>
        <v/>
      </c>
      <c r="Q316" s="43" t="str">
        <f t="shared" ca="1" si="40"/>
        <v/>
      </c>
      <c r="R316" s="43" t="str">
        <f t="shared" ca="1" si="40"/>
        <v/>
      </c>
      <c r="S316" s="44" t="str">
        <f t="shared" si="34"/>
        <v/>
      </c>
      <c r="T316" s="43" t="str">
        <f>IF($C316="","",SUMIFS(Overview!$G$18:$G$32,Overview!$D$18:$D$32,"&lt;="&amp;$C316,Overview!$E$18:$E$32,"&gt;="&amp;$C316))</f>
        <v/>
      </c>
      <c r="U316" s="43" t="str">
        <f ca="1">IF(OR($C316="",Overview!$I$33=""),"",IF($C316&gt;Overview!$I$33,"",SUM($S$12:S316)))</f>
        <v/>
      </c>
      <c r="V316" s="43" t="str">
        <f>IF($C316="","",SUM($T$12:T316))</f>
        <v/>
      </c>
      <c r="W316" s="45" t="str">
        <f t="shared" ca="1" si="35"/>
        <v/>
      </c>
    </row>
    <row r="317" spans="3:23" x14ac:dyDescent="0.35">
      <c r="C317" s="42" t="str">
        <f>IF(OR(Overview!$D$33="",Overview!$E$33=""),"",IF(Overview!$D$33+305&gt;Overview!$E$33,"",Overview!$D$33+305))</f>
        <v/>
      </c>
      <c r="D317" s="43" t="str">
        <f t="shared" ca="1" si="40"/>
        <v/>
      </c>
      <c r="E317" s="43" t="str">
        <f t="shared" ca="1" si="40"/>
        <v/>
      </c>
      <c r="F317" s="43" t="str">
        <f t="shared" ca="1" si="40"/>
        <v/>
      </c>
      <c r="G317" s="43" t="str">
        <f t="shared" ca="1" si="40"/>
        <v/>
      </c>
      <c r="H317" s="43" t="str">
        <f t="shared" ca="1" si="40"/>
        <v/>
      </c>
      <c r="I317" s="43" t="str">
        <f t="shared" ca="1" si="40"/>
        <v/>
      </c>
      <c r="J317" s="43" t="str">
        <f t="shared" ca="1" si="40"/>
        <v/>
      </c>
      <c r="K317" s="43" t="str">
        <f t="shared" ca="1" si="40"/>
        <v/>
      </c>
      <c r="L317" s="43" t="str">
        <f t="shared" ca="1" si="40"/>
        <v/>
      </c>
      <c r="M317" s="43" t="str">
        <f t="shared" ca="1" si="40"/>
        <v/>
      </c>
      <c r="N317" s="43" t="str">
        <f t="shared" ca="1" si="40"/>
        <v/>
      </c>
      <c r="O317" s="43" t="str">
        <f t="shared" ca="1" si="40"/>
        <v/>
      </c>
      <c r="P317" s="43" t="str">
        <f t="shared" ca="1" si="40"/>
        <v/>
      </c>
      <c r="Q317" s="43" t="str">
        <f t="shared" ca="1" si="40"/>
        <v/>
      </c>
      <c r="R317" s="43" t="str">
        <f t="shared" ca="1" si="40"/>
        <v/>
      </c>
      <c r="S317" s="44" t="str">
        <f t="shared" si="34"/>
        <v/>
      </c>
      <c r="T317" s="43" t="str">
        <f>IF($C317="","",SUMIFS(Overview!$G$18:$G$32,Overview!$D$18:$D$32,"&lt;="&amp;$C317,Overview!$E$18:$E$32,"&gt;="&amp;$C317))</f>
        <v/>
      </c>
      <c r="U317" s="43" t="str">
        <f ca="1">IF(OR($C317="",Overview!$I$33=""),"",IF($C317&gt;Overview!$I$33,"",SUM($S$12:S317)))</f>
        <v/>
      </c>
      <c r="V317" s="43" t="str">
        <f>IF($C317="","",SUM($T$12:T317))</f>
        <v/>
      </c>
      <c r="W317" s="45" t="str">
        <f t="shared" ca="1" si="35"/>
        <v/>
      </c>
    </row>
    <row r="318" spans="3:23" x14ac:dyDescent="0.35">
      <c r="C318" s="42" t="str">
        <f>IF(OR(Overview!$D$33="",Overview!$E$33=""),"",IF(Overview!$D$33+306&gt;Overview!$E$33,"",Overview!$D$33+306))</f>
        <v/>
      </c>
      <c r="D318" s="43" t="str">
        <f t="shared" ca="1" si="40"/>
        <v/>
      </c>
      <c r="E318" s="43" t="str">
        <f t="shared" ca="1" si="40"/>
        <v/>
      </c>
      <c r="F318" s="43" t="str">
        <f t="shared" ca="1" si="40"/>
        <v/>
      </c>
      <c r="G318" s="43" t="str">
        <f t="shared" ca="1" si="40"/>
        <v/>
      </c>
      <c r="H318" s="43" t="str">
        <f t="shared" ca="1" si="40"/>
        <v/>
      </c>
      <c r="I318" s="43" t="str">
        <f t="shared" ca="1" si="40"/>
        <v/>
      </c>
      <c r="J318" s="43" t="str">
        <f t="shared" ca="1" si="40"/>
        <v/>
      </c>
      <c r="K318" s="43" t="str">
        <f t="shared" ca="1" si="40"/>
        <v/>
      </c>
      <c r="L318" s="43" t="str">
        <f t="shared" ca="1" si="40"/>
        <v/>
      </c>
      <c r="M318" s="43" t="str">
        <f t="shared" ca="1" si="40"/>
        <v/>
      </c>
      <c r="N318" s="43" t="str">
        <f t="shared" ca="1" si="40"/>
        <v/>
      </c>
      <c r="O318" s="43" t="str">
        <f t="shared" ca="1" si="40"/>
        <v/>
      </c>
      <c r="P318" s="43" t="str">
        <f t="shared" ca="1" si="40"/>
        <v/>
      </c>
      <c r="Q318" s="43" t="str">
        <f t="shared" ca="1" si="40"/>
        <v/>
      </c>
      <c r="R318" s="43" t="str">
        <f t="shared" ca="1" si="40"/>
        <v/>
      </c>
      <c r="S318" s="44" t="str">
        <f t="shared" si="34"/>
        <v/>
      </c>
      <c r="T318" s="43" t="str">
        <f>IF($C318="","",SUMIFS(Overview!$G$18:$G$32,Overview!$D$18:$D$32,"&lt;="&amp;$C318,Overview!$E$18:$E$32,"&gt;="&amp;$C318))</f>
        <v/>
      </c>
      <c r="U318" s="43" t="str">
        <f ca="1">IF(OR($C318="",Overview!$I$33=""),"",IF($C318&gt;Overview!$I$33,"",SUM($S$12:S318)))</f>
        <v/>
      </c>
      <c r="V318" s="43" t="str">
        <f>IF($C318="","",SUM($T$12:T318))</f>
        <v/>
      </c>
      <c r="W318" s="45" t="str">
        <f t="shared" ca="1" si="35"/>
        <v/>
      </c>
    </row>
    <row r="319" spans="3:23" x14ac:dyDescent="0.35">
      <c r="C319" s="42" t="str">
        <f>IF(OR(Overview!$D$33="",Overview!$E$33=""),"",IF(Overview!$D$33+307&gt;Overview!$E$33,"",Overview!$D$33+307))</f>
        <v/>
      </c>
      <c r="D319" s="43" t="str">
        <f t="shared" ca="1" si="40"/>
        <v/>
      </c>
      <c r="E319" s="43" t="str">
        <f t="shared" ca="1" si="40"/>
        <v/>
      </c>
      <c r="F319" s="43" t="str">
        <f t="shared" ca="1" si="40"/>
        <v/>
      </c>
      <c r="G319" s="43" t="str">
        <f t="shared" ca="1" si="40"/>
        <v/>
      </c>
      <c r="H319" s="43" t="str">
        <f t="shared" ca="1" si="40"/>
        <v/>
      </c>
      <c r="I319" s="43" t="str">
        <f t="shared" ca="1" si="40"/>
        <v/>
      </c>
      <c r="J319" s="43" t="str">
        <f t="shared" ca="1" si="40"/>
        <v/>
      </c>
      <c r="K319" s="43" t="str">
        <f t="shared" ca="1" si="40"/>
        <v/>
      </c>
      <c r="L319" s="43" t="str">
        <f t="shared" ca="1" si="40"/>
        <v/>
      </c>
      <c r="M319" s="43" t="str">
        <f t="shared" ca="1" si="40"/>
        <v/>
      </c>
      <c r="N319" s="43" t="str">
        <f t="shared" ca="1" si="40"/>
        <v/>
      </c>
      <c r="O319" s="43" t="str">
        <f t="shared" ca="1" si="40"/>
        <v/>
      </c>
      <c r="P319" s="43" t="str">
        <f t="shared" ca="1" si="40"/>
        <v/>
      </c>
      <c r="Q319" s="43" t="str">
        <f t="shared" ca="1" si="40"/>
        <v/>
      </c>
      <c r="R319" s="43" t="str">
        <f t="shared" ca="1" si="40"/>
        <v/>
      </c>
      <c r="S319" s="44" t="str">
        <f t="shared" si="34"/>
        <v/>
      </c>
      <c r="T319" s="43" t="str">
        <f>IF($C319="","",SUMIFS(Overview!$G$18:$G$32,Overview!$D$18:$D$32,"&lt;="&amp;$C319,Overview!$E$18:$E$32,"&gt;="&amp;$C319))</f>
        <v/>
      </c>
      <c r="U319" s="43" t="str">
        <f ca="1">IF(OR($C319="",Overview!$I$33=""),"",IF($C319&gt;Overview!$I$33,"",SUM($S$12:S319)))</f>
        <v/>
      </c>
      <c r="V319" s="43" t="str">
        <f>IF($C319="","",SUM($T$12:T319))</f>
        <v/>
      </c>
      <c r="W319" s="45" t="str">
        <f t="shared" ca="1" si="35"/>
        <v/>
      </c>
    </row>
    <row r="320" spans="3:23" x14ac:dyDescent="0.35">
      <c r="C320" s="42" t="str">
        <f>IF(OR(Overview!$D$33="",Overview!$E$33=""),"",IF(Overview!$D$33+308&gt;Overview!$E$33,"",Overview!$D$33+308))</f>
        <v/>
      </c>
      <c r="D320" s="43" t="str">
        <f t="shared" ca="1" si="40"/>
        <v/>
      </c>
      <c r="E320" s="43" t="str">
        <f t="shared" ca="1" si="40"/>
        <v/>
      </c>
      <c r="F320" s="43" t="str">
        <f t="shared" ca="1" si="40"/>
        <v/>
      </c>
      <c r="G320" s="43" t="str">
        <f t="shared" ca="1" si="40"/>
        <v/>
      </c>
      <c r="H320" s="43" t="str">
        <f t="shared" ca="1" si="40"/>
        <v/>
      </c>
      <c r="I320" s="43" t="str">
        <f t="shared" ca="1" si="40"/>
        <v/>
      </c>
      <c r="J320" s="43" t="str">
        <f t="shared" ca="1" si="40"/>
        <v/>
      </c>
      <c r="K320" s="43" t="str">
        <f t="shared" ca="1" si="40"/>
        <v/>
      </c>
      <c r="L320" s="43" t="str">
        <f t="shared" ca="1" si="40"/>
        <v/>
      </c>
      <c r="M320" s="43" t="str">
        <f t="shared" ca="1" si="40"/>
        <v/>
      </c>
      <c r="N320" s="43" t="str">
        <f t="shared" ca="1" si="40"/>
        <v/>
      </c>
      <c r="O320" s="43" t="str">
        <f t="shared" ca="1" si="40"/>
        <v/>
      </c>
      <c r="P320" s="43" t="str">
        <f t="shared" ca="1" si="40"/>
        <v/>
      </c>
      <c r="Q320" s="43" t="str">
        <f t="shared" ca="1" si="40"/>
        <v/>
      </c>
      <c r="R320" s="43" t="str">
        <f t="shared" ca="1" si="40"/>
        <v/>
      </c>
      <c r="S320" s="44" t="str">
        <f t="shared" si="34"/>
        <v/>
      </c>
      <c r="T320" s="43" t="str">
        <f>IF($C320="","",SUMIFS(Overview!$G$18:$G$32,Overview!$D$18:$D$32,"&lt;="&amp;$C320,Overview!$E$18:$E$32,"&gt;="&amp;$C320))</f>
        <v/>
      </c>
      <c r="U320" s="43" t="str">
        <f ca="1">IF(OR($C320="",Overview!$I$33=""),"",IF($C320&gt;Overview!$I$33,"",SUM($S$12:S320)))</f>
        <v/>
      </c>
      <c r="V320" s="43" t="str">
        <f>IF($C320="","",SUM($T$12:T320))</f>
        <v/>
      </c>
      <c r="W320" s="45" t="str">
        <f t="shared" ca="1" si="35"/>
        <v/>
      </c>
    </row>
    <row r="321" spans="3:23" x14ac:dyDescent="0.35">
      <c r="C321" s="42" t="str">
        <f>IF(OR(Overview!$D$33="",Overview!$E$33=""),"",IF(Overview!$D$33+309&gt;Overview!$E$33,"",Overview!$D$33+309))</f>
        <v/>
      </c>
      <c r="D321" s="43" t="str">
        <f t="shared" ca="1" si="40"/>
        <v/>
      </c>
      <c r="E321" s="43" t="str">
        <f t="shared" ca="1" si="40"/>
        <v/>
      </c>
      <c r="F321" s="43" t="str">
        <f t="shared" ca="1" si="40"/>
        <v/>
      </c>
      <c r="G321" s="43" t="str">
        <f t="shared" ca="1" si="40"/>
        <v/>
      </c>
      <c r="H321" s="43" t="str">
        <f t="shared" ca="1" si="40"/>
        <v/>
      </c>
      <c r="I321" s="43" t="str">
        <f t="shared" ca="1" si="40"/>
        <v/>
      </c>
      <c r="J321" s="43" t="str">
        <f t="shared" ca="1" si="40"/>
        <v/>
      </c>
      <c r="K321" s="43" t="str">
        <f t="shared" ca="1" si="40"/>
        <v/>
      </c>
      <c r="L321" s="43" t="str">
        <f t="shared" ca="1" si="40"/>
        <v/>
      </c>
      <c r="M321" s="43" t="str">
        <f t="shared" ca="1" si="40"/>
        <v/>
      </c>
      <c r="N321" s="43" t="str">
        <f t="shared" ca="1" si="40"/>
        <v/>
      </c>
      <c r="O321" s="43" t="str">
        <f t="shared" ca="1" si="40"/>
        <v/>
      </c>
      <c r="P321" s="43" t="str">
        <f t="shared" ca="1" si="40"/>
        <v/>
      </c>
      <c r="Q321" s="43" t="str">
        <f t="shared" ca="1" si="40"/>
        <v/>
      </c>
      <c r="R321" s="43" t="str">
        <f t="shared" ca="1" si="40"/>
        <v/>
      </c>
      <c r="S321" s="44" t="str">
        <f t="shared" si="34"/>
        <v/>
      </c>
      <c r="T321" s="43" t="str">
        <f>IF($C321="","",SUMIFS(Overview!$G$18:$G$32,Overview!$D$18:$D$32,"&lt;="&amp;$C321,Overview!$E$18:$E$32,"&gt;="&amp;$C321))</f>
        <v/>
      </c>
      <c r="U321" s="43" t="str">
        <f ca="1">IF(OR($C321="",Overview!$I$33=""),"",IF($C321&gt;Overview!$I$33,"",SUM($S$12:S321)))</f>
        <v/>
      </c>
      <c r="V321" s="43" t="str">
        <f>IF($C321="","",SUM($T$12:T321))</f>
        <v/>
      </c>
      <c r="W321" s="45" t="str">
        <f t="shared" ca="1" si="35"/>
        <v/>
      </c>
    </row>
    <row r="322" spans="3:23" x14ac:dyDescent="0.35">
      <c r="C322" s="42" t="str">
        <f>IF(OR(Overview!$D$33="",Overview!$E$33=""),"",IF(Overview!$D$33+310&gt;Overview!$E$33,"",Overview!$D$33+310))</f>
        <v/>
      </c>
      <c r="D322" s="43" t="str">
        <f t="shared" ref="D322:R331" ca="1" si="41">IF(OR($C322="",D$11=""),"",IFERROR(SUMIFS(INDIRECT("'"&amp;D$11&amp;"'!$F$14:$F$10013"),INDIRECT("'"&amp;D$11&amp;"'!$C$14:$C$10013"),$C322),""))</f>
        <v/>
      </c>
      <c r="E322" s="43" t="str">
        <f t="shared" ca="1" si="41"/>
        <v/>
      </c>
      <c r="F322" s="43" t="str">
        <f t="shared" ca="1" si="41"/>
        <v/>
      </c>
      <c r="G322" s="43" t="str">
        <f t="shared" ca="1" si="41"/>
        <v/>
      </c>
      <c r="H322" s="43" t="str">
        <f t="shared" ca="1" si="41"/>
        <v/>
      </c>
      <c r="I322" s="43" t="str">
        <f t="shared" ca="1" si="41"/>
        <v/>
      </c>
      <c r="J322" s="43" t="str">
        <f t="shared" ca="1" si="41"/>
        <v/>
      </c>
      <c r="K322" s="43" t="str">
        <f t="shared" ca="1" si="41"/>
        <v/>
      </c>
      <c r="L322" s="43" t="str">
        <f t="shared" ca="1" si="41"/>
        <v/>
      </c>
      <c r="M322" s="43" t="str">
        <f t="shared" ca="1" si="41"/>
        <v/>
      </c>
      <c r="N322" s="43" t="str">
        <f t="shared" ca="1" si="41"/>
        <v/>
      </c>
      <c r="O322" s="43" t="str">
        <f t="shared" ca="1" si="41"/>
        <v/>
      </c>
      <c r="P322" s="43" t="str">
        <f t="shared" ca="1" si="41"/>
        <v/>
      </c>
      <c r="Q322" s="43" t="str">
        <f t="shared" ca="1" si="41"/>
        <v/>
      </c>
      <c r="R322" s="43" t="str">
        <f t="shared" ca="1" si="41"/>
        <v/>
      </c>
      <c r="S322" s="44" t="str">
        <f t="shared" si="34"/>
        <v/>
      </c>
      <c r="T322" s="43" t="str">
        <f>IF($C322="","",SUMIFS(Overview!$G$18:$G$32,Overview!$D$18:$D$32,"&lt;="&amp;$C322,Overview!$E$18:$E$32,"&gt;="&amp;$C322))</f>
        <v/>
      </c>
      <c r="U322" s="43" t="str">
        <f ca="1">IF(OR($C322="",Overview!$I$33=""),"",IF($C322&gt;Overview!$I$33,"",SUM($S$12:S322)))</f>
        <v/>
      </c>
      <c r="V322" s="43" t="str">
        <f>IF($C322="","",SUM($T$12:T322))</f>
        <v/>
      </c>
      <c r="W322" s="45" t="str">
        <f t="shared" ca="1" si="35"/>
        <v/>
      </c>
    </row>
    <row r="323" spans="3:23" x14ac:dyDescent="0.35">
      <c r="C323" s="42" t="str">
        <f>IF(OR(Overview!$D$33="",Overview!$E$33=""),"",IF(Overview!$D$33+311&gt;Overview!$E$33,"",Overview!$D$33+311))</f>
        <v/>
      </c>
      <c r="D323" s="43" t="str">
        <f t="shared" ca="1" si="41"/>
        <v/>
      </c>
      <c r="E323" s="43" t="str">
        <f t="shared" ca="1" si="41"/>
        <v/>
      </c>
      <c r="F323" s="43" t="str">
        <f t="shared" ca="1" si="41"/>
        <v/>
      </c>
      <c r="G323" s="43" t="str">
        <f t="shared" ca="1" si="41"/>
        <v/>
      </c>
      <c r="H323" s="43" t="str">
        <f t="shared" ca="1" si="41"/>
        <v/>
      </c>
      <c r="I323" s="43" t="str">
        <f t="shared" ca="1" si="41"/>
        <v/>
      </c>
      <c r="J323" s="43" t="str">
        <f t="shared" ca="1" si="41"/>
        <v/>
      </c>
      <c r="K323" s="43" t="str">
        <f t="shared" ca="1" si="41"/>
        <v/>
      </c>
      <c r="L323" s="43" t="str">
        <f t="shared" ca="1" si="41"/>
        <v/>
      </c>
      <c r="M323" s="43" t="str">
        <f t="shared" ca="1" si="41"/>
        <v/>
      </c>
      <c r="N323" s="43" t="str">
        <f t="shared" ca="1" si="41"/>
        <v/>
      </c>
      <c r="O323" s="43" t="str">
        <f t="shared" ca="1" si="41"/>
        <v/>
      </c>
      <c r="P323" s="43" t="str">
        <f t="shared" ca="1" si="41"/>
        <v/>
      </c>
      <c r="Q323" s="43" t="str">
        <f t="shared" ca="1" si="41"/>
        <v/>
      </c>
      <c r="R323" s="43" t="str">
        <f t="shared" ca="1" si="41"/>
        <v/>
      </c>
      <c r="S323" s="44" t="str">
        <f t="shared" si="34"/>
        <v/>
      </c>
      <c r="T323" s="43" t="str">
        <f>IF($C323="","",SUMIFS(Overview!$G$18:$G$32,Overview!$D$18:$D$32,"&lt;="&amp;$C323,Overview!$E$18:$E$32,"&gt;="&amp;$C323))</f>
        <v/>
      </c>
      <c r="U323" s="43" t="str">
        <f ca="1">IF(OR($C323="",Overview!$I$33=""),"",IF($C323&gt;Overview!$I$33,"",SUM($S$12:S323)))</f>
        <v/>
      </c>
      <c r="V323" s="43" t="str">
        <f>IF($C323="","",SUM($T$12:T323))</f>
        <v/>
      </c>
      <c r="W323" s="45" t="str">
        <f t="shared" ca="1" si="35"/>
        <v/>
      </c>
    </row>
    <row r="324" spans="3:23" x14ac:dyDescent="0.35">
      <c r="C324" s="42" t="str">
        <f>IF(OR(Overview!$D$33="",Overview!$E$33=""),"",IF(Overview!$D$33+312&gt;Overview!$E$33,"",Overview!$D$33+312))</f>
        <v/>
      </c>
      <c r="D324" s="43" t="str">
        <f t="shared" ca="1" si="41"/>
        <v/>
      </c>
      <c r="E324" s="43" t="str">
        <f t="shared" ca="1" si="41"/>
        <v/>
      </c>
      <c r="F324" s="43" t="str">
        <f t="shared" ca="1" si="41"/>
        <v/>
      </c>
      <c r="G324" s="43" t="str">
        <f t="shared" ca="1" si="41"/>
        <v/>
      </c>
      <c r="H324" s="43" t="str">
        <f t="shared" ca="1" si="41"/>
        <v/>
      </c>
      <c r="I324" s="43" t="str">
        <f t="shared" ca="1" si="41"/>
        <v/>
      </c>
      <c r="J324" s="43" t="str">
        <f t="shared" ca="1" si="41"/>
        <v/>
      </c>
      <c r="K324" s="43" t="str">
        <f t="shared" ca="1" si="41"/>
        <v/>
      </c>
      <c r="L324" s="43" t="str">
        <f t="shared" ca="1" si="41"/>
        <v/>
      </c>
      <c r="M324" s="43" t="str">
        <f t="shared" ca="1" si="41"/>
        <v/>
      </c>
      <c r="N324" s="43" t="str">
        <f t="shared" ca="1" si="41"/>
        <v/>
      </c>
      <c r="O324" s="43" t="str">
        <f t="shared" ca="1" si="41"/>
        <v/>
      </c>
      <c r="P324" s="43" t="str">
        <f t="shared" ca="1" si="41"/>
        <v/>
      </c>
      <c r="Q324" s="43" t="str">
        <f t="shared" ca="1" si="41"/>
        <v/>
      </c>
      <c r="R324" s="43" t="str">
        <f t="shared" ca="1" si="41"/>
        <v/>
      </c>
      <c r="S324" s="44" t="str">
        <f t="shared" si="34"/>
        <v/>
      </c>
      <c r="T324" s="43" t="str">
        <f>IF($C324="","",SUMIFS(Overview!$G$18:$G$32,Overview!$D$18:$D$32,"&lt;="&amp;$C324,Overview!$E$18:$E$32,"&gt;="&amp;$C324))</f>
        <v/>
      </c>
      <c r="U324" s="43" t="str">
        <f ca="1">IF(OR($C324="",Overview!$I$33=""),"",IF($C324&gt;Overview!$I$33,"",SUM($S$12:S324)))</f>
        <v/>
      </c>
      <c r="V324" s="43" t="str">
        <f>IF($C324="","",SUM($T$12:T324))</f>
        <v/>
      </c>
      <c r="W324" s="45" t="str">
        <f t="shared" ca="1" si="35"/>
        <v/>
      </c>
    </row>
    <row r="325" spans="3:23" x14ac:dyDescent="0.35">
      <c r="C325" s="42" t="str">
        <f>IF(OR(Overview!$D$33="",Overview!$E$33=""),"",IF(Overview!$D$33+313&gt;Overview!$E$33,"",Overview!$D$33+313))</f>
        <v/>
      </c>
      <c r="D325" s="43" t="str">
        <f t="shared" ca="1" si="41"/>
        <v/>
      </c>
      <c r="E325" s="43" t="str">
        <f t="shared" ca="1" si="41"/>
        <v/>
      </c>
      <c r="F325" s="43" t="str">
        <f t="shared" ca="1" si="41"/>
        <v/>
      </c>
      <c r="G325" s="43" t="str">
        <f t="shared" ca="1" si="41"/>
        <v/>
      </c>
      <c r="H325" s="43" t="str">
        <f t="shared" ca="1" si="41"/>
        <v/>
      </c>
      <c r="I325" s="43" t="str">
        <f t="shared" ca="1" si="41"/>
        <v/>
      </c>
      <c r="J325" s="43" t="str">
        <f t="shared" ca="1" si="41"/>
        <v/>
      </c>
      <c r="K325" s="43" t="str">
        <f t="shared" ca="1" si="41"/>
        <v/>
      </c>
      <c r="L325" s="43" t="str">
        <f t="shared" ca="1" si="41"/>
        <v/>
      </c>
      <c r="M325" s="43" t="str">
        <f t="shared" ca="1" si="41"/>
        <v/>
      </c>
      <c r="N325" s="43" t="str">
        <f t="shared" ca="1" si="41"/>
        <v/>
      </c>
      <c r="O325" s="43" t="str">
        <f t="shared" ca="1" si="41"/>
        <v/>
      </c>
      <c r="P325" s="43" t="str">
        <f t="shared" ca="1" si="41"/>
        <v/>
      </c>
      <c r="Q325" s="43" t="str">
        <f t="shared" ca="1" si="41"/>
        <v/>
      </c>
      <c r="R325" s="43" t="str">
        <f t="shared" ca="1" si="41"/>
        <v/>
      </c>
      <c r="S325" s="44" t="str">
        <f t="shared" si="34"/>
        <v/>
      </c>
      <c r="T325" s="43" t="str">
        <f>IF($C325="","",SUMIFS(Overview!$G$18:$G$32,Overview!$D$18:$D$32,"&lt;="&amp;$C325,Overview!$E$18:$E$32,"&gt;="&amp;$C325))</f>
        <v/>
      </c>
      <c r="U325" s="43" t="str">
        <f ca="1">IF(OR($C325="",Overview!$I$33=""),"",IF($C325&gt;Overview!$I$33,"",SUM($S$12:S325)))</f>
        <v/>
      </c>
      <c r="V325" s="43" t="str">
        <f>IF($C325="","",SUM($T$12:T325))</f>
        <v/>
      </c>
      <c r="W325" s="45" t="str">
        <f t="shared" ca="1" si="35"/>
        <v/>
      </c>
    </row>
    <row r="326" spans="3:23" x14ac:dyDescent="0.35">
      <c r="C326" s="42" t="str">
        <f>IF(OR(Overview!$D$33="",Overview!$E$33=""),"",IF(Overview!$D$33+314&gt;Overview!$E$33,"",Overview!$D$33+314))</f>
        <v/>
      </c>
      <c r="D326" s="43" t="str">
        <f t="shared" ca="1" si="41"/>
        <v/>
      </c>
      <c r="E326" s="43" t="str">
        <f t="shared" ca="1" si="41"/>
        <v/>
      </c>
      <c r="F326" s="43" t="str">
        <f t="shared" ca="1" si="41"/>
        <v/>
      </c>
      <c r="G326" s="43" t="str">
        <f t="shared" ca="1" si="41"/>
        <v/>
      </c>
      <c r="H326" s="43" t="str">
        <f t="shared" ca="1" si="41"/>
        <v/>
      </c>
      <c r="I326" s="43" t="str">
        <f t="shared" ca="1" si="41"/>
        <v/>
      </c>
      <c r="J326" s="43" t="str">
        <f t="shared" ca="1" si="41"/>
        <v/>
      </c>
      <c r="K326" s="43" t="str">
        <f t="shared" ca="1" si="41"/>
        <v/>
      </c>
      <c r="L326" s="43" t="str">
        <f t="shared" ca="1" si="41"/>
        <v/>
      </c>
      <c r="M326" s="43" t="str">
        <f t="shared" ca="1" si="41"/>
        <v/>
      </c>
      <c r="N326" s="43" t="str">
        <f t="shared" ca="1" si="41"/>
        <v/>
      </c>
      <c r="O326" s="43" t="str">
        <f t="shared" ca="1" si="41"/>
        <v/>
      </c>
      <c r="P326" s="43" t="str">
        <f t="shared" ca="1" si="41"/>
        <v/>
      </c>
      <c r="Q326" s="43" t="str">
        <f t="shared" ca="1" si="41"/>
        <v/>
      </c>
      <c r="R326" s="43" t="str">
        <f t="shared" ca="1" si="41"/>
        <v/>
      </c>
      <c r="S326" s="44" t="str">
        <f t="shared" si="34"/>
        <v/>
      </c>
      <c r="T326" s="43" t="str">
        <f>IF($C326="","",SUMIFS(Overview!$G$18:$G$32,Overview!$D$18:$D$32,"&lt;="&amp;$C326,Overview!$E$18:$E$32,"&gt;="&amp;$C326))</f>
        <v/>
      </c>
      <c r="U326" s="43" t="str">
        <f ca="1">IF(OR($C326="",Overview!$I$33=""),"",IF($C326&gt;Overview!$I$33,"",SUM($S$12:S326)))</f>
        <v/>
      </c>
      <c r="V326" s="43" t="str">
        <f>IF($C326="","",SUM($T$12:T326))</f>
        <v/>
      </c>
      <c r="W326" s="45" t="str">
        <f t="shared" ca="1" si="35"/>
        <v/>
      </c>
    </row>
    <row r="327" spans="3:23" x14ac:dyDescent="0.35">
      <c r="C327" s="42" t="str">
        <f>IF(OR(Overview!$D$33="",Overview!$E$33=""),"",IF(Overview!$D$33+315&gt;Overview!$E$33,"",Overview!$D$33+315))</f>
        <v/>
      </c>
      <c r="D327" s="43" t="str">
        <f t="shared" ca="1" si="41"/>
        <v/>
      </c>
      <c r="E327" s="43" t="str">
        <f t="shared" ca="1" si="41"/>
        <v/>
      </c>
      <c r="F327" s="43" t="str">
        <f t="shared" ca="1" si="41"/>
        <v/>
      </c>
      <c r="G327" s="43" t="str">
        <f t="shared" ca="1" si="41"/>
        <v/>
      </c>
      <c r="H327" s="43" t="str">
        <f t="shared" ca="1" si="41"/>
        <v/>
      </c>
      <c r="I327" s="43" t="str">
        <f t="shared" ca="1" si="41"/>
        <v/>
      </c>
      <c r="J327" s="43" t="str">
        <f t="shared" ca="1" si="41"/>
        <v/>
      </c>
      <c r="K327" s="43" t="str">
        <f t="shared" ca="1" si="41"/>
        <v/>
      </c>
      <c r="L327" s="43" t="str">
        <f t="shared" ca="1" si="41"/>
        <v/>
      </c>
      <c r="M327" s="43" t="str">
        <f t="shared" ca="1" si="41"/>
        <v/>
      </c>
      <c r="N327" s="43" t="str">
        <f t="shared" ca="1" si="41"/>
        <v/>
      </c>
      <c r="O327" s="43" t="str">
        <f t="shared" ca="1" si="41"/>
        <v/>
      </c>
      <c r="P327" s="43" t="str">
        <f t="shared" ca="1" si="41"/>
        <v/>
      </c>
      <c r="Q327" s="43" t="str">
        <f t="shared" ca="1" si="41"/>
        <v/>
      </c>
      <c r="R327" s="43" t="str">
        <f t="shared" ca="1" si="41"/>
        <v/>
      </c>
      <c r="S327" s="44" t="str">
        <f t="shared" si="34"/>
        <v/>
      </c>
      <c r="T327" s="43" t="str">
        <f>IF($C327="","",SUMIFS(Overview!$G$18:$G$32,Overview!$D$18:$D$32,"&lt;="&amp;$C327,Overview!$E$18:$E$32,"&gt;="&amp;$C327))</f>
        <v/>
      </c>
      <c r="U327" s="43" t="str">
        <f ca="1">IF(OR($C327="",Overview!$I$33=""),"",IF($C327&gt;Overview!$I$33,"",SUM($S$12:S327)))</f>
        <v/>
      </c>
      <c r="V327" s="43" t="str">
        <f>IF($C327="","",SUM($T$12:T327))</f>
        <v/>
      </c>
      <c r="W327" s="45" t="str">
        <f t="shared" ca="1" si="35"/>
        <v/>
      </c>
    </row>
    <row r="328" spans="3:23" x14ac:dyDescent="0.35">
      <c r="C328" s="42" t="str">
        <f>IF(OR(Overview!$D$33="",Overview!$E$33=""),"",IF(Overview!$D$33+316&gt;Overview!$E$33,"",Overview!$D$33+316))</f>
        <v/>
      </c>
      <c r="D328" s="43" t="str">
        <f t="shared" ca="1" si="41"/>
        <v/>
      </c>
      <c r="E328" s="43" t="str">
        <f t="shared" ca="1" si="41"/>
        <v/>
      </c>
      <c r="F328" s="43" t="str">
        <f t="shared" ca="1" si="41"/>
        <v/>
      </c>
      <c r="G328" s="43" t="str">
        <f t="shared" ca="1" si="41"/>
        <v/>
      </c>
      <c r="H328" s="43" t="str">
        <f t="shared" ca="1" si="41"/>
        <v/>
      </c>
      <c r="I328" s="43" t="str">
        <f t="shared" ca="1" si="41"/>
        <v/>
      </c>
      <c r="J328" s="43" t="str">
        <f t="shared" ca="1" si="41"/>
        <v/>
      </c>
      <c r="K328" s="43" t="str">
        <f t="shared" ca="1" si="41"/>
        <v/>
      </c>
      <c r="L328" s="43" t="str">
        <f t="shared" ca="1" si="41"/>
        <v/>
      </c>
      <c r="M328" s="43" t="str">
        <f t="shared" ca="1" si="41"/>
        <v/>
      </c>
      <c r="N328" s="43" t="str">
        <f t="shared" ca="1" si="41"/>
        <v/>
      </c>
      <c r="O328" s="43" t="str">
        <f t="shared" ca="1" si="41"/>
        <v/>
      </c>
      <c r="P328" s="43" t="str">
        <f t="shared" ca="1" si="41"/>
        <v/>
      </c>
      <c r="Q328" s="43" t="str">
        <f t="shared" ca="1" si="41"/>
        <v/>
      </c>
      <c r="R328" s="43" t="str">
        <f t="shared" ca="1" si="41"/>
        <v/>
      </c>
      <c r="S328" s="44" t="str">
        <f t="shared" si="34"/>
        <v/>
      </c>
      <c r="T328" s="43" t="str">
        <f>IF($C328="","",SUMIFS(Overview!$G$18:$G$32,Overview!$D$18:$D$32,"&lt;="&amp;$C328,Overview!$E$18:$E$32,"&gt;="&amp;$C328))</f>
        <v/>
      </c>
      <c r="U328" s="43" t="str">
        <f ca="1">IF(OR($C328="",Overview!$I$33=""),"",IF($C328&gt;Overview!$I$33,"",SUM($S$12:S328)))</f>
        <v/>
      </c>
      <c r="V328" s="43" t="str">
        <f>IF($C328="","",SUM($T$12:T328))</f>
        <v/>
      </c>
      <c r="W328" s="45" t="str">
        <f t="shared" ca="1" si="35"/>
        <v/>
      </c>
    </row>
    <row r="329" spans="3:23" x14ac:dyDescent="0.35">
      <c r="C329" s="42" t="str">
        <f>IF(OR(Overview!$D$33="",Overview!$E$33=""),"",IF(Overview!$D$33+317&gt;Overview!$E$33,"",Overview!$D$33+317))</f>
        <v/>
      </c>
      <c r="D329" s="43" t="str">
        <f t="shared" ca="1" si="41"/>
        <v/>
      </c>
      <c r="E329" s="43" t="str">
        <f t="shared" ca="1" si="41"/>
        <v/>
      </c>
      <c r="F329" s="43" t="str">
        <f t="shared" ca="1" si="41"/>
        <v/>
      </c>
      <c r="G329" s="43" t="str">
        <f t="shared" ca="1" si="41"/>
        <v/>
      </c>
      <c r="H329" s="43" t="str">
        <f t="shared" ca="1" si="41"/>
        <v/>
      </c>
      <c r="I329" s="43" t="str">
        <f t="shared" ca="1" si="41"/>
        <v/>
      </c>
      <c r="J329" s="43" t="str">
        <f t="shared" ca="1" si="41"/>
        <v/>
      </c>
      <c r="K329" s="43" t="str">
        <f t="shared" ca="1" si="41"/>
        <v/>
      </c>
      <c r="L329" s="43" t="str">
        <f t="shared" ca="1" si="41"/>
        <v/>
      </c>
      <c r="M329" s="43" t="str">
        <f t="shared" ca="1" si="41"/>
        <v/>
      </c>
      <c r="N329" s="43" t="str">
        <f t="shared" ca="1" si="41"/>
        <v/>
      </c>
      <c r="O329" s="43" t="str">
        <f t="shared" ca="1" si="41"/>
        <v/>
      </c>
      <c r="P329" s="43" t="str">
        <f t="shared" ca="1" si="41"/>
        <v/>
      </c>
      <c r="Q329" s="43" t="str">
        <f t="shared" ca="1" si="41"/>
        <v/>
      </c>
      <c r="R329" s="43" t="str">
        <f t="shared" ca="1" si="41"/>
        <v/>
      </c>
      <c r="S329" s="44" t="str">
        <f t="shared" si="34"/>
        <v/>
      </c>
      <c r="T329" s="43" t="str">
        <f>IF($C329="","",SUMIFS(Overview!$G$18:$G$32,Overview!$D$18:$D$32,"&lt;="&amp;$C329,Overview!$E$18:$E$32,"&gt;="&amp;$C329))</f>
        <v/>
      </c>
      <c r="U329" s="43" t="str">
        <f ca="1">IF(OR($C329="",Overview!$I$33=""),"",IF($C329&gt;Overview!$I$33,"",SUM($S$12:S329)))</f>
        <v/>
      </c>
      <c r="V329" s="43" t="str">
        <f>IF($C329="","",SUM($T$12:T329))</f>
        <v/>
      </c>
      <c r="W329" s="45" t="str">
        <f t="shared" ca="1" si="35"/>
        <v/>
      </c>
    </row>
    <row r="330" spans="3:23" x14ac:dyDescent="0.35">
      <c r="C330" s="42" t="str">
        <f>IF(OR(Overview!$D$33="",Overview!$E$33=""),"",IF(Overview!$D$33+318&gt;Overview!$E$33,"",Overview!$D$33+318))</f>
        <v/>
      </c>
      <c r="D330" s="43" t="str">
        <f t="shared" ca="1" si="41"/>
        <v/>
      </c>
      <c r="E330" s="43" t="str">
        <f t="shared" ca="1" si="41"/>
        <v/>
      </c>
      <c r="F330" s="43" t="str">
        <f t="shared" ca="1" si="41"/>
        <v/>
      </c>
      <c r="G330" s="43" t="str">
        <f t="shared" ca="1" si="41"/>
        <v/>
      </c>
      <c r="H330" s="43" t="str">
        <f t="shared" ca="1" si="41"/>
        <v/>
      </c>
      <c r="I330" s="43" t="str">
        <f t="shared" ca="1" si="41"/>
        <v/>
      </c>
      <c r="J330" s="43" t="str">
        <f t="shared" ca="1" si="41"/>
        <v/>
      </c>
      <c r="K330" s="43" t="str">
        <f t="shared" ca="1" si="41"/>
        <v/>
      </c>
      <c r="L330" s="43" t="str">
        <f t="shared" ca="1" si="41"/>
        <v/>
      </c>
      <c r="M330" s="43" t="str">
        <f t="shared" ca="1" si="41"/>
        <v/>
      </c>
      <c r="N330" s="43" t="str">
        <f t="shared" ca="1" si="41"/>
        <v/>
      </c>
      <c r="O330" s="43" t="str">
        <f t="shared" ca="1" si="41"/>
        <v/>
      </c>
      <c r="P330" s="43" t="str">
        <f t="shared" ca="1" si="41"/>
        <v/>
      </c>
      <c r="Q330" s="43" t="str">
        <f t="shared" ca="1" si="41"/>
        <v/>
      </c>
      <c r="R330" s="43" t="str">
        <f t="shared" ca="1" si="41"/>
        <v/>
      </c>
      <c r="S330" s="44" t="str">
        <f t="shared" si="34"/>
        <v/>
      </c>
      <c r="T330" s="43" t="str">
        <f>IF($C330="","",SUMIFS(Overview!$G$18:$G$32,Overview!$D$18:$D$32,"&lt;="&amp;$C330,Overview!$E$18:$E$32,"&gt;="&amp;$C330))</f>
        <v/>
      </c>
      <c r="U330" s="43" t="str">
        <f ca="1">IF(OR($C330="",Overview!$I$33=""),"",IF($C330&gt;Overview!$I$33,"",SUM($S$12:S330)))</f>
        <v/>
      </c>
      <c r="V330" s="43" t="str">
        <f>IF($C330="","",SUM($T$12:T330))</f>
        <v/>
      </c>
      <c r="W330" s="45" t="str">
        <f t="shared" ca="1" si="35"/>
        <v/>
      </c>
    </row>
    <row r="331" spans="3:23" x14ac:dyDescent="0.35">
      <c r="C331" s="42" t="str">
        <f>IF(OR(Overview!$D$33="",Overview!$E$33=""),"",IF(Overview!$D$33+319&gt;Overview!$E$33,"",Overview!$D$33+319))</f>
        <v/>
      </c>
      <c r="D331" s="43" t="str">
        <f t="shared" ca="1" si="41"/>
        <v/>
      </c>
      <c r="E331" s="43" t="str">
        <f t="shared" ca="1" si="41"/>
        <v/>
      </c>
      <c r="F331" s="43" t="str">
        <f t="shared" ca="1" si="41"/>
        <v/>
      </c>
      <c r="G331" s="43" t="str">
        <f t="shared" ca="1" si="41"/>
        <v/>
      </c>
      <c r="H331" s="43" t="str">
        <f t="shared" ca="1" si="41"/>
        <v/>
      </c>
      <c r="I331" s="43" t="str">
        <f t="shared" ca="1" si="41"/>
        <v/>
      </c>
      <c r="J331" s="43" t="str">
        <f t="shared" ca="1" si="41"/>
        <v/>
      </c>
      <c r="K331" s="43" t="str">
        <f t="shared" ca="1" si="41"/>
        <v/>
      </c>
      <c r="L331" s="43" t="str">
        <f t="shared" ca="1" si="41"/>
        <v/>
      </c>
      <c r="M331" s="43" t="str">
        <f t="shared" ca="1" si="41"/>
        <v/>
      </c>
      <c r="N331" s="43" t="str">
        <f t="shared" ca="1" si="41"/>
        <v/>
      </c>
      <c r="O331" s="43" t="str">
        <f t="shared" ca="1" si="41"/>
        <v/>
      </c>
      <c r="P331" s="43" t="str">
        <f t="shared" ca="1" si="41"/>
        <v/>
      </c>
      <c r="Q331" s="43" t="str">
        <f t="shared" ca="1" si="41"/>
        <v/>
      </c>
      <c r="R331" s="43" t="str">
        <f t="shared" ca="1" si="41"/>
        <v/>
      </c>
      <c r="S331" s="44" t="str">
        <f t="shared" si="34"/>
        <v/>
      </c>
      <c r="T331" s="43" t="str">
        <f>IF($C331="","",SUMIFS(Overview!$G$18:$G$32,Overview!$D$18:$D$32,"&lt;="&amp;$C331,Overview!$E$18:$E$32,"&gt;="&amp;$C331))</f>
        <v/>
      </c>
      <c r="U331" s="43" t="str">
        <f ca="1">IF(OR($C331="",Overview!$I$33=""),"",IF($C331&gt;Overview!$I$33,"",SUM($S$12:S331)))</f>
        <v/>
      </c>
      <c r="V331" s="43" t="str">
        <f>IF($C331="","",SUM($T$12:T331))</f>
        <v/>
      </c>
      <c r="W331" s="45" t="str">
        <f t="shared" ca="1" si="35"/>
        <v/>
      </c>
    </row>
    <row r="332" spans="3:23" x14ac:dyDescent="0.35">
      <c r="C332" s="42" t="str">
        <f>IF(OR(Overview!$D$33="",Overview!$E$33=""),"",IF(Overview!$D$33+320&gt;Overview!$E$33,"",Overview!$D$33+320))</f>
        <v/>
      </c>
      <c r="D332" s="43" t="str">
        <f t="shared" ref="D332:R341" ca="1" si="42">IF(OR($C332="",D$11=""),"",IFERROR(SUMIFS(INDIRECT("'"&amp;D$11&amp;"'!$F$14:$F$10013"),INDIRECT("'"&amp;D$11&amp;"'!$C$14:$C$10013"),$C332),""))</f>
        <v/>
      </c>
      <c r="E332" s="43" t="str">
        <f t="shared" ca="1" si="42"/>
        <v/>
      </c>
      <c r="F332" s="43" t="str">
        <f t="shared" ca="1" si="42"/>
        <v/>
      </c>
      <c r="G332" s="43" t="str">
        <f t="shared" ca="1" si="42"/>
        <v/>
      </c>
      <c r="H332" s="43" t="str">
        <f t="shared" ca="1" si="42"/>
        <v/>
      </c>
      <c r="I332" s="43" t="str">
        <f t="shared" ca="1" si="42"/>
        <v/>
      </c>
      <c r="J332" s="43" t="str">
        <f t="shared" ca="1" si="42"/>
        <v/>
      </c>
      <c r="K332" s="43" t="str">
        <f t="shared" ca="1" si="42"/>
        <v/>
      </c>
      <c r="L332" s="43" t="str">
        <f t="shared" ca="1" si="42"/>
        <v/>
      </c>
      <c r="M332" s="43" t="str">
        <f t="shared" ca="1" si="42"/>
        <v/>
      </c>
      <c r="N332" s="43" t="str">
        <f t="shared" ca="1" si="42"/>
        <v/>
      </c>
      <c r="O332" s="43" t="str">
        <f t="shared" ca="1" si="42"/>
        <v/>
      </c>
      <c r="P332" s="43" t="str">
        <f t="shared" ca="1" si="42"/>
        <v/>
      </c>
      <c r="Q332" s="43" t="str">
        <f t="shared" ca="1" si="42"/>
        <v/>
      </c>
      <c r="R332" s="43" t="str">
        <f t="shared" ca="1" si="42"/>
        <v/>
      </c>
      <c r="S332" s="44" t="str">
        <f t="shared" ref="S332:S395" si="43">IF($C332="","",SUM(D332:R332))</f>
        <v/>
      </c>
      <c r="T332" s="43" t="str">
        <f>IF($C332="","",SUMIFS(Overview!$G$18:$G$32,Overview!$D$18:$D$32,"&lt;="&amp;$C332,Overview!$E$18:$E$32,"&gt;="&amp;$C332))</f>
        <v/>
      </c>
      <c r="U332" s="43" t="str">
        <f ca="1">IF(OR($C332="",Overview!$I$33=""),"",IF($C332&gt;Overview!$I$33,"",SUM($S$12:S332)))</f>
        <v/>
      </c>
      <c r="V332" s="43" t="str">
        <f>IF($C332="","",SUM($T$12:T332))</f>
        <v/>
      </c>
      <c r="W332" s="45" t="str">
        <f t="shared" ref="W332:W395" ca="1" si="44">IF(OR(U332="",V332="",V332=0),"",U332/V332)</f>
        <v/>
      </c>
    </row>
    <row r="333" spans="3:23" x14ac:dyDescent="0.35">
      <c r="C333" s="42" t="str">
        <f>IF(OR(Overview!$D$33="",Overview!$E$33=""),"",IF(Overview!$D$33+321&gt;Overview!$E$33,"",Overview!$D$33+321))</f>
        <v/>
      </c>
      <c r="D333" s="43" t="str">
        <f t="shared" ca="1" si="42"/>
        <v/>
      </c>
      <c r="E333" s="43" t="str">
        <f t="shared" ca="1" si="42"/>
        <v/>
      </c>
      <c r="F333" s="43" t="str">
        <f t="shared" ca="1" si="42"/>
        <v/>
      </c>
      <c r="G333" s="43" t="str">
        <f t="shared" ca="1" si="42"/>
        <v/>
      </c>
      <c r="H333" s="43" t="str">
        <f t="shared" ca="1" si="42"/>
        <v/>
      </c>
      <c r="I333" s="43" t="str">
        <f t="shared" ca="1" si="42"/>
        <v/>
      </c>
      <c r="J333" s="43" t="str">
        <f t="shared" ca="1" si="42"/>
        <v/>
      </c>
      <c r="K333" s="43" t="str">
        <f t="shared" ca="1" si="42"/>
        <v/>
      </c>
      <c r="L333" s="43" t="str">
        <f t="shared" ca="1" si="42"/>
        <v/>
      </c>
      <c r="M333" s="43" t="str">
        <f t="shared" ca="1" si="42"/>
        <v/>
      </c>
      <c r="N333" s="43" t="str">
        <f t="shared" ca="1" si="42"/>
        <v/>
      </c>
      <c r="O333" s="43" t="str">
        <f t="shared" ca="1" si="42"/>
        <v/>
      </c>
      <c r="P333" s="43" t="str">
        <f t="shared" ca="1" si="42"/>
        <v/>
      </c>
      <c r="Q333" s="43" t="str">
        <f t="shared" ca="1" si="42"/>
        <v/>
      </c>
      <c r="R333" s="43" t="str">
        <f t="shared" ca="1" si="42"/>
        <v/>
      </c>
      <c r="S333" s="44" t="str">
        <f t="shared" si="43"/>
        <v/>
      </c>
      <c r="T333" s="43" t="str">
        <f>IF($C333="","",SUMIFS(Overview!$G$18:$G$32,Overview!$D$18:$D$32,"&lt;="&amp;$C333,Overview!$E$18:$E$32,"&gt;="&amp;$C333))</f>
        <v/>
      </c>
      <c r="U333" s="43" t="str">
        <f ca="1">IF(OR($C333="",Overview!$I$33=""),"",IF($C333&gt;Overview!$I$33,"",SUM($S$12:S333)))</f>
        <v/>
      </c>
      <c r="V333" s="43" t="str">
        <f>IF($C333="","",SUM($T$12:T333))</f>
        <v/>
      </c>
      <c r="W333" s="45" t="str">
        <f t="shared" ca="1" si="44"/>
        <v/>
      </c>
    </row>
    <row r="334" spans="3:23" x14ac:dyDescent="0.35">
      <c r="C334" s="42" t="str">
        <f>IF(OR(Overview!$D$33="",Overview!$E$33=""),"",IF(Overview!$D$33+322&gt;Overview!$E$33,"",Overview!$D$33+322))</f>
        <v/>
      </c>
      <c r="D334" s="43" t="str">
        <f t="shared" ca="1" si="42"/>
        <v/>
      </c>
      <c r="E334" s="43" t="str">
        <f t="shared" ca="1" si="42"/>
        <v/>
      </c>
      <c r="F334" s="43" t="str">
        <f t="shared" ca="1" si="42"/>
        <v/>
      </c>
      <c r="G334" s="43" t="str">
        <f t="shared" ca="1" si="42"/>
        <v/>
      </c>
      <c r="H334" s="43" t="str">
        <f t="shared" ca="1" si="42"/>
        <v/>
      </c>
      <c r="I334" s="43" t="str">
        <f t="shared" ca="1" si="42"/>
        <v/>
      </c>
      <c r="J334" s="43" t="str">
        <f t="shared" ca="1" si="42"/>
        <v/>
      </c>
      <c r="K334" s="43" t="str">
        <f t="shared" ca="1" si="42"/>
        <v/>
      </c>
      <c r="L334" s="43" t="str">
        <f t="shared" ca="1" si="42"/>
        <v/>
      </c>
      <c r="M334" s="43" t="str">
        <f t="shared" ca="1" si="42"/>
        <v/>
      </c>
      <c r="N334" s="43" t="str">
        <f t="shared" ca="1" si="42"/>
        <v/>
      </c>
      <c r="O334" s="43" t="str">
        <f t="shared" ca="1" si="42"/>
        <v/>
      </c>
      <c r="P334" s="43" t="str">
        <f t="shared" ca="1" si="42"/>
        <v/>
      </c>
      <c r="Q334" s="43" t="str">
        <f t="shared" ca="1" si="42"/>
        <v/>
      </c>
      <c r="R334" s="43" t="str">
        <f t="shared" ca="1" si="42"/>
        <v/>
      </c>
      <c r="S334" s="44" t="str">
        <f t="shared" si="43"/>
        <v/>
      </c>
      <c r="T334" s="43" t="str">
        <f>IF($C334="","",SUMIFS(Overview!$G$18:$G$32,Overview!$D$18:$D$32,"&lt;="&amp;$C334,Overview!$E$18:$E$32,"&gt;="&amp;$C334))</f>
        <v/>
      </c>
      <c r="U334" s="43" t="str">
        <f ca="1">IF(OR($C334="",Overview!$I$33=""),"",IF($C334&gt;Overview!$I$33,"",SUM($S$12:S334)))</f>
        <v/>
      </c>
      <c r="V334" s="43" t="str">
        <f>IF($C334="","",SUM($T$12:T334))</f>
        <v/>
      </c>
      <c r="W334" s="45" t="str">
        <f t="shared" ca="1" si="44"/>
        <v/>
      </c>
    </row>
    <row r="335" spans="3:23" x14ac:dyDescent="0.35">
      <c r="C335" s="42" t="str">
        <f>IF(OR(Overview!$D$33="",Overview!$E$33=""),"",IF(Overview!$D$33+323&gt;Overview!$E$33,"",Overview!$D$33+323))</f>
        <v/>
      </c>
      <c r="D335" s="43" t="str">
        <f t="shared" ca="1" si="42"/>
        <v/>
      </c>
      <c r="E335" s="43" t="str">
        <f t="shared" ca="1" si="42"/>
        <v/>
      </c>
      <c r="F335" s="43" t="str">
        <f t="shared" ca="1" si="42"/>
        <v/>
      </c>
      <c r="G335" s="43" t="str">
        <f t="shared" ca="1" si="42"/>
        <v/>
      </c>
      <c r="H335" s="43" t="str">
        <f t="shared" ca="1" si="42"/>
        <v/>
      </c>
      <c r="I335" s="43" t="str">
        <f t="shared" ca="1" si="42"/>
        <v/>
      </c>
      <c r="J335" s="43" t="str">
        <f t="shared" ca="1" si="42"/>
        <v/>
      </c>
      <c r="K335" s="43" t="str">
        <f t="shared" ca="1" si="42"/>
        <v/>
      </c>
      <c r="L335" s="43" t="str">
        <f t="shared" ca="1" si="42"/>
        <v/>
      </c>
      <c r="M335" s="43" t="str">
        <f t="shared" ca="1" si="42"/>
        <v/>
      </c>
      <c r="N335" s="43" t="str">
        <f t="shared" ca="1" si="42"/>
        <v/>
      </c>
      <c r="O335" s="43" t="str">
        <f t="shared" ca="1" si="42"/>
        <v/>
      </c>
      <c r="P335" s="43" t="str">
        <f t="shared" ca="1" si="42"/>
        <v/>
      </c>
      <c r="Q335" s="43" t="str">
        <f t="shared" ca="1" si="42"/>
        <v/>
      </c>
      <c r="R335" s="43" t="str">
        <f t="shared" ca="1" si="42"/>
        <v/>
      </c>
      <c r="S335" s="44" t="str">
        <f t="shared" si="43"/>
        <v/>
      </c>
      <c r="T335" s="43" t="str">
        <f>IF($C335="","",SUMIFS(Overview!$G$18:$G$32,Overview!$D$18:$D$32,"&lt;="&amp;$C335,Overview!$E$18:$E$32,"&gt;="&amp;$C335))</f>
        <v/>
      </c>
      <c r="U335" s="43" t="str">
        <f ca="1">IF(OR($C335="",Overview!$I$33=""),"",IF($C335&gt;Overview!$I$33,"",SUM($S$12:S335)))</f>
        <v/>
      </c>
      <c r="V335" s="43" t="str">
        <f>IF($C335="","",SUM($T$12:T335))</f>
        <v/>
      </c>
      <c r="W335" s="45" t="str">
        <f t="shared" ca="1" si="44"/>
        <v/>
      </c>
    </row>
    <row r="336" spans="3:23" x14ac:dyDescent="0.35">
      <c r="C336" s="42" t="str">
        <f>IF(OR(Overview!$D$33="",Overview!$E$33=""),"",IF(Overview!$D$33+324&gt;Overview!$E$33,"",Overview!$D$33+324))</f>
        <v/>
      </c>
      <c r="D336" s="43" t="str">
        <f t="shared" ca="1" si="42"/>
        <v/>
      </c>
      <c r="E336" s="43" t="str">
        <f t="shared" ca="1" si="42"/>
        <v/>
      </c>
      <c r="F336" s="43" t="str">
        <f t="shared" ca="1" si="42"/>
        <v/>
      </c>
      <c r="G336" s="43" t="str">
        <f t="shared" ca="1" si="42"/>
        <v/>
      </c>
      <c r="H336" s="43" t="str">
        <f t="shared" ca="1" si="42"/>
        <v/>
      </c>
      <c r="I336" s="43" t="str">
        <f t="shared" ca="1" si="42"/>
        <v/>
      </c>
      <c r="J336" s="43" t="str">
        <f t="shared" ca="1" si="42"/>
        <v/>
      </c>
      <c r="K336" s="43" t="str">
        <f t="shared" ca="1" si="42"/>
        <v/>
      </c>
      <c r="L336" s="43" t="str">
        <f t="shared" ca="1" si="42"/>
        <v/>
      </c>
      <c r="M336" s="43" t="str">
        <f t="shared" ca="1" si="42"/>
        <v/>
      </c>
      <c r="N336" s="43" t="str">
        <f t="shared" ca="1" si="42"/>
        <v/>
      </c>
      <c r="O336" s="43" t="str">
        <f t="shared" ca="1" si="42"/>
        <v/>
      </c>
      <c r="P336" s="43" t="str">
        <f t="shared" ca="1" si="42"/>
        <v/>
      </c>
      <c r="Q336" s="43" t="str">
        <f t="shared" ca="1" si="42"/>
        <v/>
      </c>
      <c r="R336" s="43" t="str">
        <f t="shared" ca="1" si="42"/>
        <v/>
      </c>
      <c r="S336" s="44" t="str">
        <f t="shared" si="43"/>
        <v/>
      </c>
      <c r="T336" s="43" t="str">
        <f>IF($C336="","",SUMIFS(Overview!$G$18:$G$32,Overview!$D$18:$D$32,"&lt;="&amp;$C336,Overview!$E$18:$E$32,"&gt;="&amp;$C336))</f>
        <v/>
      </c>
      <c r="U336" s="43" t="str">
        <f ca="1">IF(OR($C336="",Overview!$I$33=""),"",IF($C336&gt;Overview!$I$33,"",SUM($S$12:S336)))</f>
        <v/>
      </c>
      <c r="V336" s="43" t="str">
        <f>IF($C336="","",SUM($T$12:T336))</f>
        <v/>
      </c>
      <c r="W336" s="45" t="str">
        <f t="shared" ca="1" si="44"/>
        <v/>
      </c>
    </row>
    <row r="337" spans="3:23" x14ac:dyDescent="0.35">
      <c r="C337" s="42" t="str">
        <f>IF(OR(Overview!$D$33="",Overview!$E$33=""),"",IF(Overview!$D$33+325&gt;Overview!$E$33,"",Overview!$D$33+325))</f>
        <v/>
      </c>
      <c r="D337" s="43" t="str">
        <f t="shared" ca="1" si="42"/>
        <v/>
      </c>
      <c r="E337" s="43" t="str">
        <f t="shared" ca="1" si="42"/>
        <v/>
      </c>
      <c r="F337" s="43" t="str">
        <f t="shared" ca="1" si="42"/>
        <v/>
      </c>
      <c r="G337" s="43" t="str">
        <f t="shared" ca="1" si="42"/>
        <v/>
      </c>
      <c r="H337" s="43" t="str">
        <f t="shared" ca="1" si="42"/>
        <v/>
      </c>
      <c r="I337" s="43" t="str">
        <f t="shared" ca="1" si="42"/>
        <v/>
      </c>
      <c r="J337" s="43" t="str">
        <f t="shared" ca="1" si="42"/>
        <v/>
      </c>
      <c r="K337" s="43" t="str">
        <f t="shared" ca="1" si="42"/>
        <v/>
      </c>
      <c r="L337" s="43" t="str">
        <f t="shared" ca="1" si="42"/>
        <v/>
      </c>
      <c r="M337" s="43" t="str">
        <f t="shared" ca="1" si="42"/>
        <v/>
      </c>
      <c r="N337" s="43" t="str">
        <f t="shared" ca="1" si="42"/>
        <v/>
      </c>
      <c r="O337" s="43" t="str">
        <f t="shared" ca="1" si="42"/>
        <v/>
      </c>
      <c r="P337" s="43" t="str">
        <f t="shared" ca="1" si="42"/>
        <v/>
      </c>
      <c r="Q337" s="43" t="str">
        <f t="shared" ca="1" si="42"/>
        <v/>
      </c>
      <c r="R337" s="43" t="str">
        <f t="shared" ca="1" si="42"/>
        <v/>
      </c>
      <c r="S337" s="44" t="str">
        <f t="shared" si="43"/>
        <v/>
      </c>
      <c r="T337" s="43" t="str">
        <f>IF($C337="","",SUMIFS(Overview!$G$18:$G$32,Overview!$D$18:$D$32,"&lt;="&amp;$C337,Overview!$E$18:$E$32,"&gt;="&amp;$C337))</f>
        <v/>
      </c>
      <c r="U337" s="43" t="str">
        <f ca="1">IF(OR($C337="",Overview!$I$33=""),"",IF($C337&gt;Overview!$I$33,"",SUM($S$12:S337)))</f>
        <v/>
      </c>
      <c r="V337" s="43" t="str">
        <f>IF($C337="","",SUM($T$12:T337))</f>
        <v/>
      </c>
      <c r="W337" s="45" t="str">
        <f t="shared" ca="1" si="44"/>
        <v/>
      </c>
    </row>
    <row r="338" spans="3:23" x14ac:dyDescent="0.35">
      <c r="C338" s="42" t="str">
        <f>IF(OR(Overview!$D$33="",Overview!$E$33=""),"",IF(Overview!$D$33+326&gt;Overview!$E$33,"",Overview!$D$33+326))</f>
        <v/>
      </c>
      <c r="D338" s="43" t="str">
        <f t="shared" ca="1" si="42"/>
        <v/>
      </c>
      <c r="E338" s="43" t="str">
        <f t="shared" ca="1" si="42"/>
        <v/>
      </c>
      <c r="F338" s="43" t="str">
        <f t="shared" ca="1" si="42"/>
        <v/>
      </c>
      <c r="G338" s="43" t="str">
        <f t="shared" ca="1" si="42"/>
        <v/>
      </c>
      <c r="H338" s="43" t="str">
        <f t="shared" ca="1" si="42"/>
        <v/>
      </c>
      <c r="I338" s="43" t="str">
        <f t="shared" ca="1" si="42"/>
        <v/>
      </c>
      <c r="J338" s="43" t="str">
        <f t="shared" ca="1" si="42"/>
        <v/>
      </c>
      <c r="K338" s="43" t="str">
        <f t="shared" ca="1" si="42"/>
        <v/>
      </c>
      <c r="L338" s="43" t="str">
        <f t="shared" ca="1" si="42"/>
        <v/>
      </c>
      <c r="M338" s="43" t="str">
        <f t="shared" ca="1" si="42"/>
        <v/>
      </c>
      <c r="N338" s="43" t="str">
        <f t="shared" ca="1" si="42"/>
        <v/>
      </c>
      <c r="O338" s="43" t="str">
        <f t="shared" ca="1" si="42"/>
        <v/>
      </c>
      <c r="P338" s="43" t="str">
        <f t="shared" ca="1" si="42"/>
        <v/>
      </c>
      <c r="Q338" s="43" t="str">
        <f t="shared" ca="1" si="42"/>
        <v/>
      </c>
      <c r="R338" s="43" t="str">
        <f t="shared" ca="1" si="42"/>
        <v/>
      </c>
      <c r="S338" s="44" t="str">
        <f t="shared" si="43"/>
        <v/>
      </c>
      <c r="T338" s="43" t="str">
        <f>IF($C338="","",SUMIFS(Overview!$G$18:$G$32,Overview!$D$18:$D$32,"&lt;="&amp;$C338,Overview!$E$18:$E$32,"&gt;="&amp;$C338))</f>
        <v/>
      </c>
      <c r="U338" s="43" t="str">
        <f ca="1">IF(OR($C338="",Overview!$I$33=""),"",IF($C338&gt;Overview!$I$33,"",SUM($S$12:S338)))</f>
        <v/>
      </c>
      <c r="V338" s="43" t="str">
        <f>IF($C338="","",SUM($T$12:T338))</f>
        <v/>
      </c>
      <c r="W338" s="45" t="str">
        <f t="shared" ca="1" si="44"/>
        <v/>
      </c>
    </row>
    <row r="339" spans="3:23" x14ac:dyDescent="0.35">
      <c r="C339" s="42" t="str">
        <f>IF(OR(Overview!$D$33="",Overview!$E$33=""),"",IF(Overview!$D$33+327&gt;Overview!$E$33,"",Overview!$D$33+327))</f>
        <v/>
      </c>
      <c r="D339" s="43" t="str">
        <f t="shared" ca="1" si="42"/>
        <v/>
      </c>
      <c r="E339" s="43" t="str">
        <f t="shared" ca="1" si="42"/>
        <v/>
      </c>
      <c r="F339" s="43" t="str">
        <f t="shared" ca="1" si="42"/>
        <v/>
      </c>
      <c r="G339" s="43" t="str">
        <f t="shared" ca="1" si="42"/>
        <v/>
      </c>
      <c r="H339" s="43" t="str">
        <f t="shared" ca="1" si="42"/>
        <v/>
      </c>
      <c r="I339" s="43" t="str">
        <f t="shared" ca="1" si="42"/>
        <v/>
      </c>
      <c r="J339" s="43" t="str">
        <f t="shared" ca="1" si="42"/>
        <v/>
      </c>
      <c r="K339" s="43" t="str">
        <f t="shared" ca="1" si="42"/>
        <v/>
      </c>
      <c r="L339" s="43" t="str">
        <f t="shared" ca="1" si="42"/>
        <v/>
      </c>
      <c r="M339" s="43" t="str">
        <f t="shared" ca="1" si="42"/>
        <v/>
      </c>
      <c r="N339" s="43" t="str">
        <f t="shared" ca="1" si="42"/>
        <v/>
      </c>
      <c r="O339" s="43" t="str">
        <f t="shared" ca="1" si="42"/>
        <v/>
      </c>
      <c r="P339" s="43" t="str">
        <f t="shared" ca="1" si="42"/>
        <v/>
      </c>
      <c r="Q339" s="43" t="str">
        <f t="shared" ca="1" si="42"/>
        <v/>
      </c>
      <c r="R339" s="43" t="str">
        <f t="shared" ca="1" si="42"/>
        <v/>
      </c>
      <c r="S339" s="44" t="str">
        <f t="shared" si="43"/>
        <v/>
      </c>
      <c r="T339" s="43" t="str">
        <f>IF($C339="","",SUMIFS(Overview!$G$18:$G$32,Overview!$D$18:$D$32,"&lt;="&amp;$C339,Overview!$E$18:$E$32,"&gt;="&amp;$C339))</f>
        <v/>
      </c>
      <c r="U339" s="43" t="str">
        <f ca="1">IF(OR($C339="",Overview!$I$33=""),"",IF($C339&gt;Overview!$I$33,"",SUM($S$12:S339)))</f>
        <v/>
      </c>
      <c r="V339" s="43" t="str">
        <f>IF($C339="","",SUM($T$12:T339))</f>
        <v/>
      </c>
      <c r="W339" s="45" t="str">
        <f t="shared" ca="1" si="44"/>
        <v/>
      </c>
    </row>
    <row r="340" spans="3:23" x14ac:dyDescent="0.35">
      <c r="C340" s="42" t="str">
        <f>IF(OR(Overview!$D$33="",Overview!$E$33=""),"",IF(Overview!$D$33+328&gt;Overview!$E$33,"",Overview!$D$33+328))</f>
        <v/>
      </c>
      <c r="D340" s="43" t="str">
        <f t="shared" ca="1" si="42"/>
        <v/>
      </c>
      <c r="E340" s="43" t="str">
        <f t="shared" ca="1" si="42"/>
        <v/>
      </c>
      <c r="F340" s="43" t="str">
        <f t="shared" ca="1" si="42"/>
        <v/>
      </c>
      <c r="G340" s="43" t="str">
        <f t="shared" ca="1" si="42"/>
        <v/>
      </c>
      <c r="H340" s="43" t="str">
        <f t="shared" ca="1" si="42"/>
        <v/>
      </c>
      <c r="I340" s="43" t="str">
        <f t="shared" ca="1" si="42"/>
        <v/>
      </c>
      <c r="J340" s="43" t="str">
        <f t="shared" ca="1" si="42"/>
        <v/>
      </c>
      <c r="K340" s="43" t="str">
        <f t="shared" ca="1" si="42"/>
        <v/>
      </c>
      <c r="L340" s="43" t="str">
        <f t="shared" ca="1" si="42"/>
        <v/>
      </c>
      <c r="M340" s="43" t="str">
        <f t="shared" ca="1" si="42"/>
        <v/>
      </c>
      <c r="N340" s="43" t="str">
        <f t="shared" ca="1" si="42"/>
        <v/>
      </c>
      <c r="O340" s="43" t="str">
        <f t="shared" ca="1" si="42"/>
        <v/>
      </c>
      <c r="P340" s="43" t="str">
        <f t="shared" ca="1" si="42"/>
        <v/>
      </c>
      <c r="Q340" s="43" t="str">
        <f t="shared" ca="1" si="42"/>
        <v/>
      </c>
      <c r="R340" s="43" t="str">
        <f t="shared" ca="1" si="42"/>
        <v/>
      </c>
      <c r="S340" s="44" t="str">
        <f t="shared" si="43"/>
        <v/>
      </c>
      <c r="T340" s="43" t="str">
        <f>IF($C340="","",SUMIFS(Overview!$G$18:$G$32,Overview!$D$18:$D$32,"&lt;="&amp;$C340,Overview!$E$18:$E$32,"&gt;="&amp;$C340))</f>
        <v/>
      </c>
      <c r="U340" s="43" t="str">
        <f ca="1">IF(OR($C340="",Overview!$I$33=""),"",IF($C340&gt;Overview!$I$33,"",SUM($S$12:S340)))</f>
        <v/>
      </c>
      <c r="V340" s="43" t="str">
        <f>IF($C340="","",SUM($T$12:T340))</f>
        <v/>
      </c>
      <c r="W340" s="45" t="str">
        <f t="shared" ca="1" si="44"/>
        <v/>
      </c>
    </row>
    <row r="341" spans="3:23" x14ac:dyDescent="0.35">
      <c r="C341" s="42" t="str">
        <f>IF(OR(Overview!$D$33="",Overview!$E$33=""),"",IF(Overview!$D$33+329&gt;Overview!$E$33,"",Overview!$D$33+329))</f>
        <v/>
      </c>
      <c r="D341" s="43" t="str">
        <f t="shared" ca="1" si="42"/>
        <v/>
      </c>
      <c r="E341" s="43" t="str">
        <f t="shared" ca="1" si="42"/>
        <v/>
      </c>
      <c r="F341" s="43" t="str">
        <f t="shared" ca="1" si="42"/>
        <v/>
      </c>
      <c r="G341" s="43" t="str">
        <f t="shared" ca="1" si="42"/>
        <v/>
      </c>
      <c r="H341" s="43" t="str">
        <f t="shared" ca="1" si="42"/>
        <v/>
      </c>
      <c r="I341" s="43" t="str">
        <f t="shared" ca="1" si="42"/>
        <v/>
      </c>
      <c r="J341" s="43" t="str">
        <f t="shared" ca="1" si="42"/>
        <v/>
      </c>
      <c r="K341" s="43" t="str">
        <f t="shared" ca="1" si="42"/>
        <v/>
      </c>
      <c r="L341" s="43" t="str">
        <f t="shared" ca="1" si="42"/>
        <v/>
      </c>
      <c r="M341" s="43" t="str">
        <f t="shared" ca="1" si="42"/>
        <v/>
      </c>
      <c r="N341" s="43" t="str">
        <f t="shared" ca="1" si="42"/>
        <v/>
      </c>
      <c r="O341" s="43" t="str">
        <f t="shared" ca="1" si="42"/>
        <v/>
      </c>
      <c r="P341" s="43" t="str">
        <f t="shared" ca="1" si="42"/>
        <v/>
      </c>
      <c r="Q341" s="43" t="str">
        <f t="shared" ca="1" si="42"/>
        <v/>
      </c>
      <c r="R341" s="43" t="str">
        <f t="shared" ca="1" si="42"/>
        <v/>
      </c>
      <c r="S341" s="44" t="str">
        <f t="shared" si="43"/>
        <v/>
      </c>
      <c r="T341" s="43" t="str">
        <f>IF($C341="","",SUMIFS(Overview!$G$18:$G$32,Overview!$D$18:$D$32,"&lt;="&amp;$C341,Overview!$E$18:$E$32,"&gt;="&amp;$C341))</f>
        <v/>
      </c>
      <c r="U341" s="43" t="str">
        <f ca="1">IF(OR($C341="",Overview!$I$33=""),"",IF($C341&gt;Overview!$I$33,"",SUM($S$12:S341)))</f>
        <v/>
      </c>
      <c r="V341" s="43" t="str">
        <f>IF($C341="","",SUM($T$12:T341))</f>
        <v/>
      </c>
      <c r="W341" s="45" t="str">
        <f t="shared" ca="1" si="44"/>
        <v/>
      </c>
    </row>
    <row r="342" spans="3:23" x14ac:dyDescent="0.35">
      <c r="C342" s="42" t="str">
        <f>IF(OR(Overview!$D$33="",Overview!$E$33=""),"",IF(Overview!$D$33+330&gt;Overview!$E$33,"",Overview!$D$33+330))</f>
        <v/>
      </c>
      <c r="D342" s="43" t="str">
        <f t="shared" ref="D342:R351" ca="1" si="45">IF(OR($C342="",D$11=""),"",IFERROR(SUMIFS(INDIRECT("'"&amp;D$11&amp;"'!$F$14:$F$10013"),INDIRECT("'"&amp;D$11&amp;"'!$C$14:$C$10013"),$C342),""))</f>
        <v/>
      </c>
      <c r="E342" s="43" t="str">
        <f t="shared" ca="1" si="45"/>
        <v/>
      </c>
      <c r="F342" s="43" t="str">
        <f t="shared" ca="1" si="45"/>
        <v/>
      </c>
      <c r="G342" s="43" t="str">
        <f t="shared" ca="1" si="45"/>
        <v/>
      </c>
      <c r="H342" s="43" t="str">
        <f t="shared" ca="1" si="45"/>
        <v/>
      </c>
      <c r="I342" s="43" t="str">
        <f t="shared" ca="1" si="45"/>
        <v/>
      </c>
      <c r="J342" s="43" t="str">
        <f t="shared" ca="1" si="45"/>
        <v/>
      </c>
      <c r="K342" s="43" t="str">
        <f t="shared" ca="1" si="45"/>
        <v/>
      </c>
      <c r="L342" s="43" t="str">
        <f t="shared" ca="1" si="45"/>
        <v/>
      </c>
      <c r="M342" s="43" t="str">
        <f t="shared" ca="1" si="45"/>
        <v/>
      </c>
      <c r="N342" s="43" t="str">
        <f t="shared" ca="1" si="45"/>
        <v/>
      </c>
      <c r="O342" s="43" t="str">
        <f t="shared" ca="1" si="45"/>
        <v/>
      </c>
      <c r="P342" s="43" t="str">
        <f t="shared" ca="1" si="45"/>
        <v/>
      </c>
      <c r="Q342" s="43" t="str">
        <f t="shared" ca="1" si="45"/>
        <v/>
      </c>
      <c r="R342" s="43" t="str">
        <f t="shared" ca="1" si="45"/>
        <v/>
      </c>
      <c r="S342" s="44" t="str">
        <f t="shared" si="43"/>
        <v/>
      </c>
      <c r="T342" s="43" t="str">
        <f>IF($C342="","",SUMIFS(Overview!$G$18:$G$32,Overview!$D$18:$D$32,"&lt;="&amp;$C342,Overview!$E$18:$E$32,"&gt;="&amp;$C342))</f>
        <v/>
      </c>
      <c r="U342" s="43" t="str">
        <f ca="1">IF(OR($C342="",Overview!$I$33=""),"",IF($C342&gt;Overview!$I$33,"",SUM($S$12:S342)))</f>
        <v/>
      </c>
      <c r="V342" s="43" t="str">
        <f>IF($C342="","",SUM($T$12:T342))</f>
        <v/>
      </c>
      <c r="W342" s="45" t="str">
        <f t="shared" ca="1" si="44"/>
        <v/>
      </c>
    </row>
    <row r="343" spans="3:23" x14ac:dyDescent="0.35">
      <c r="C343" s="42" t="str">
        <f>IF(OR(Overview!$D$33="",Overview!$E$33=""),"",IF(Overview!$D$33+331&gt;Overview!$E$33,"",Overview!$D$33+331))</f>
        <v/>
      </c>
      <c r="D343" s="43" t="str">
        <f t="shared" ca="1" si="45"/>
        <v/>
      </c>
      <c r="E343" s="43" t="str">
        <f t="shared" ca="1" si="45"/>
        <v/>
      </c>
      <c r="F343" s="43" t="str">
        <f t="shared" ca="1" si="45"/>
        <v/>
      </c>
      <c r="G343" s="43" t="str">
        <f t="shared" ca="1" si="45"/>
        <v/>
      </c>
      <c r="H343" s="43" t="str">
        <f t="shared" ca="1" si="45"/>
        <v/>
      </c>
      <c r="I343" s="43" t="str">
        <f t="shared" ca="1" si="45"/>
        <v/>
      </c>
      <c r="J343" s="43" t="str">
        <f t="shared" ca="1" si="45"/>
        <v/>
      </c>
      <c r="K343" s="43" t="str">
        <f t="shared" ca="1" si="45"/>
        <v/>
      </c>
      <c r="L343" s="43" t="str">
        <f t="shared" ca="1" si="45"/>
        <v/>
      </c>
      <c r="M343" s="43" t="str">
        <f t="shared" ca="1" si="45"/>
        <v/>
      </c>
      <c r="N343" s="43" t="str">
        <f t="shared" ca="1" si="45"/>
        <v/>
      </c>
      <c r="O343" s="43" t="str">
        <f t="shared" ca="1" si="45"/>
        <v/>
      </c>
      <c r="P343" s="43" t="str">
        <f t="shared" ca="1" si="45"/>
        <v/>
      </c>
      <c r="Q343" s="43" t="str">
        <f t="shared" ca="1" si="45"/>
        <v/>
      </c>
      <c r="R343" s="43" t="str">
        <f t="shared" ca="1" si="45"/>
        <v/>
      </c>
      <c r="S343" s="44" t="str">
        <f t="shared" si="43"/>
        <v/>
      </c>
      <c r="T343" s="43" t="str">
        <f>IF($C343="","",SUMIFS(Overview!$G$18:$G$32,Overview!$D$18:$D$32,"&lt;="&amp;$C343,Overview!$E$18:$E$32,"&gt;="&amp;$C343))</f>
        <v/>
      </c>
      <c r="U343" s="43" t="str">
        <f ca="1">IF(OR($C343="",Overview!$I$33=""),"",IF($C343&gt;Overview!$I$33,"",SUM($S$12:S343)))</f>
        <v/>
      </c>
      <c r="V343" s="43" t="str">
        <f>IF($C343="","",SUM($T$12:T343))</f>
        <v/>
      </c>
      <c r="W343" s="45" t="str">
        <f t="shared" ca="1" si="44"/>
        <v/>
      </c>
    </row>
    <row r="344" spans="3:23" x14ac:dyDescent="0.35">
      <c r="C344" s="42" t="str">
        <f>IF(OR(Overview!$D$33="",Overview!$E$33=""),"",IF(Overview!$D$33+332&gt;Overview!$E$33,"",Overview!$D$33+332))</f>
        <v/>
      </c>
      <c r="D344" s="43" t="str">
        <f t="shared" ca="1" si="45"/>
        <v/>
      </c>
      <c r="E344" s="43" t="str">
        <f t="shared" ca="1" si="45"/>
        <v/>
      </c>
      <c r="F344" s="43" t="str">
        <f t="shared" ca="1" si="45"/>
        <v/>
      </c>
      <c r="G344" s="43" t="str">
        <f t="shared" ca="1" si="45"/>
        <v/>
      </c>
      <c r="H344" s="43" t="str">
        <f t="shared" ca="1" si="45"/>
        <v/>
      </c>
      <c r="I344" s="43" t="str">
        <f t="shared" ca="1" si="45"/>
        <v/>
      </c>
      <c r="J344" s="43" t="str">
        <f t="shared" ca="1" si="45"/>
        <v/>
      </c>
      <c r="K344" s="43" t="str">
        <f t="shared" ca="1" si="45"/>
        <v/>
      </c>
      <c r="L344" s="43" t="str">
        <f t="shared" ca="1" si="45"/>
        <v/>
      </c>
      <c r="M344" s="43" t="str">
        <f t="shared" ca="1" si="45"/>
        <v/>
      </c>
      <c r="N344" s="43" t="str">
        <f t="shared" ca="1" si="45"/>
        <v/>
      </c>
      <c r="O344" s="43" t="str">
        <f t="shared" ca="1" si="45"/>
        <v/>
      </c>
      <c r="P344" s="43" t="str">
        <f t="shared" ca="1" si="45"/>
        <v/>
      </c>
      <c r="Q344" s="43" t="str">
        <f t="shared" ca="1" si="45"/>
        <v/>
      </c>
      <c r="R344" s="43" t="str">
        <f t="shared" ca="1" si="45"/>
        <v/>
      </c>
      <c r="S344" s="44" t="str">
        <f t="shared" si="43"/>
        <v/>
      </c>
      <c r="T344" s="43" t="str">
        <f>IF($C344="","",SUMIFS(Overview!$G$18:$G$32,Overview!$D$18:$D$32,"&lt;="&amp;$C344,Overview!$E$18:$E$32,"&gt;="&amp;$C344))</f>
        <v/>
      </c>
      <c r="U344" s="43" t="str">
        <f ca="1">IF(OR($C344="",Overview!$I$33=""),"",IF($C344&gt;Overview!$I$33,"",SUM($S$12:S344)))</f>
        <v/>
      </c>
      <c r="V344" s="43" t="str">
        <f>IF($C344="","",SUM($T$12:T344))</f>
        <v/>
      </c>
      <c r="W344" s="45" t="str">
        <f t="shared" ca="1" si="44"/>
        <v/>
      </c>
    </row>
    <row r="345" spans="3:23" x14ac:dyDescent="0.35">
      <c r="C345" s="42" t="str">
        <f>IF(OR(Overview!$D$33="",Overview!$E$33=""),"",IF(Overview!$D$33+333&gt;Overview!$E$33,"",Overview!$D$33+333))</f>
        <v/>
      </c>
      <c r="D345" s="43" t="str">
        <f t="shared" ca="1" si="45"/>
        <v/>
      </c>
      <c r="E345" s="43" t="str">
        <f t="shared" ca="1" si="45"/>
        <v/>
      </c>
      <c r="F345" s="43" t="str">
        <f t="shared" ca="1" si="45"/>
        <v/>
      </c>
      <c r="G345" s="43" t="str">
        <f t="shared" ca="1" si="45"/>
        <v/>
      </c>
      <c r="H345" s="43" t="str">
        <f t="shared" ca="1" si="45"/>
        <v/>
      </c>
      <c r="I345" s="43" t="str">
        <f t="shared" ca="1" si="45"/>
        <v/>
      </c>
      <c r="J345" s="43" t="str">
        <f t="shared" ca="1" si="45"/>
        <v/>
      </c>
      <c r="K345" s="43" t="str">
        <f t="shared" ca="1" si="45"/>
        <v/>
      </c>
      <c r="L345" s="43" t="str">
        <f t="shared" ca="1" si="45"/>
        <v/>
      </c>
      <c r="M345" s="43" t="str">
        <f t="shared" ca="1" si="45"/>
        <v/>
      </c>
      <c r="N345" s="43" t="str">
        <f t="shared" ca="1" si="45"/>
        <v/>
      </c>
      <c r="O345" s="43" t="str">
        <f t="shared" ca="1" si="45"/>
        <v/>
      </c>
      <c r="P345" s="43" t="str">
        <f t="shared" ca="1" si="45"/>
        <v/>
      </c>
      <c r="Q345" s="43" t="str">
        <f t="shared" ca="1" si="45"/>
        <v/>
      </c>
      <c r="R345" s="43" t="str">
        <f t="shared" ca="1" si="45"/>
        <v/>
      </c>
      <c r="S345" s="44" t="str">
        <f t="shared" si="43"/>
        <v/>
      </c>
      <c r="T345" s="43" t="str">
        <f>IF($C345="","",SUMIFS(Overview!$G$18:$G$32,Overview!$D$18:$D$32,"&lt;="&amp;$C345,Overview!$E$18:$E$32,"&gt;="&amp;$C345))</f>
        <v/>
      </c>
      <c r="U345" s="43" t="str">
        <f ca="1">IF(OR($C345="",Overview!$I$33=""),"",IF($C345&gt;Overview!$I$33,"",SUM($S$12:S345)))</f>
        <v/>
      </c>
      <c r="V345" s="43" t="str">
        <f>IF($C345="","",SUM($T$12:T345))</f>
        <v/>
      </c>
      <c r="W345" s="45" t="str">
        <f t="shared" ca="1" si="44"/>
        <v/>
      </c>
    </row>
    <row r="346" spans="3:23" x14ac:dyDescent="0.35">
      <c r="C346" s="42" t="str">
        <f>IF(OR(Overview!$D$33="",Overview!$E$33=""),"",IF(Overview!$D$33+334&gt;Overview!$E$33,"",Overview!$D$33+334))</f>
        <v/>
      </c>
      <c r="D346" s="43" t="str">
        <f t="shared" ca="1" si="45"/>
        <v/>
      </c>
      <c r="E346" s="43" t="str">
        <f t="shared" ca="1" si="45"/>
        <v/>
      </c>
      <c r="F346" s="43" t="str">
        <f t="shared" ca="1" si="45"/>
        <v/>
      </c>
      <c r="G346" s="43" t="str">
        <f t="shared" ca="1" si="45"/>
        <v/>
      </c>
      <c r="H346" s="43" t="str">
        <f t="shared" ca="1" si="45"/>
        <v/>
      </c>
      <c r="I346" s="43" t="str">
        <f t="shared" ca="1" si="45"/>
        <v/>
      </c>
      <c r="J346" s="43" t="str">
        <f t="shared" ca="1" si="45"/>
        <v/>
      </c>
      <c r="K346" s="43" t="str">
        <f t="shared" ca="1" si="45"/>
        <v/>
      </c>
      <c r="L346" s="43" t="str">
        <f t="shared" ca="1" si="45"/>
        <v/>
      </c>
      <c r="M346" s="43" t="str">
        <f t="shared" ca="1" si="45"/>
        <v/>
      </c>
      <c r="N346" s="43" t="str">
        <f t="shared" ca="1" si="45"/>
        <v/>
      </c>
      <c r="O346" s="43" t="str">
        <f t="shared" ca="1" si="45"/>
        <v/>
      </c>
      <c r="P346" s="43" t="str">
        <f t="shared" ca="1" si="45"/>
        <v/>
      </c>
      <c r="Q346" s="43" t="str">
        <f t="shared" ca="1" si="45"/>
        <v/>
      </c>
      <c r="R346" s="43" t="str">
        <f t="shared" ca="1" si="45"/>
        <v/>
      </c>
      <c r="S346" s="44" t="str">
        <f t="shared" si="43"/>
        <v/>
      </c>
      <c r="T346" s="43" t="str">
        <f>IF($C346="","",SUMIFS(Overview!$G$18:$G$32,Overview!$D$18:$D$32,"&lt;="&amp;$C346,Overview!$E$18:$E$32,"&gt;="&amp;$C346))</f>
        <v/>
      </c>
      <c r="U346" s="43" t="str">
        <f ca="1">IF(OR($C346="",Overview!$I$33=""),"",IF($C346&gt;Overview!$I$33,"",SUM($S$12:S346)))</f>
        <v/>
      </c>
      <c r="V346" s="43" t="str">
        <f>IF($C346="","",SUM($T$12:T346))</f>
        <v/>
      </c>
      <c r="W346" s="45" t="str">
        <f t="shared" ca="1" si="44"/>
        <v/>
      </c>
    </row>
    <row r="347" spans="3:23" x14ac:dyDescent="0.35">
      <c r="C347" s="42" t="str">
        <f>IF(OR(Overview!$D$33="",Overview!$E$33=""),"",IF(Overview!$D$33+335&gt;Overview!$E$33,"",Overview!$D$33+335))</f>
        <v/>
      </c>
      <c r="D347" s="43" t="str">
        <f t="shared" ca="1" si="45"/>
        <v/>
      </c>
      <c r="E347" s="43" t="str">
        <f t="shared" ca="1" si="45"/>
        <v/>
      </c>
      <c r="F347" s="43" t="str">
        <f t="shared" ca="1" si="45"/>
        <v/>
      </c>
      <c r="G347" s="43" t="str">
        <f t="shared" ca="1" si="45"/>
        <v/>
      </c>
      <c r="H347" s="43" t="str">
        <f t="shared" ca="1" si="45"/>
        <v/>
      </c>
      <c r="I347" s="43" t="str">
        <f t="shared" ca="1" si="45"/>
        <v/>
      </c>
      <c r="J347" s="43" t="str">
        <f t="shared" ca="1" si="45"/>
        <v/>
      </c>
      <c r="K347" s="43" t="str">
        <f t="shared" ca="1" si="45"/>
        <v/>
      </c>
      <c r="L347" s="43" t="str">
        <f t="shared" ca="1" si="45"/>
        <v/>
      </c>
      <c r="M347" s="43" t="str">
        <f t="shared" ca="1" si="45"/>
        <v/>
      </c>
      <c r="N347" s="43" t="str">
        <f t="shared" ca="1" si="45"/>
        <v/>
      </c>
      <c r="O347" s="43" t="str">
        <f t="shared" ca="1" si="45"/>
        <v/>
      </c>
      <c r="P347" s="43" t="str">
        <f t="shared" ca="1" si="45"/>
        <v/>
      </c>
      <c r="Q347" s="43" t="str">
        <f t="shared" ca="1" si="45"/>
        <v/>
      </c>
      <c r="R347" s="43" t="str">
        <f t="shared" ca="1" si="45"/>
        <v/>
      </c>
      <c r="S347" s="44" t="str">
        <f t="shared" si="43"/>
        <v/>
      </c>
      <c r="T347" s="43" t="str">
        <f>IF($C347="","",SUMIFS(Overview!$G$18:$G$32,Overview!$D$18:$D$32,"&lt;="&amp;$C347,Overview!$E$18:$E$32,"&gt;="&amp;$C347))</f>
        <v/>
      </c>
      <c r="U347" s="43" t="str">
        <f ca="1">IF(OR($C347="",Overview!$I$33=""),"",IF($C347&gt;Overview!$I$33,"",SUM($S$12:S347)))</f>
        <v/>
      </c>
      <c r="V347" s="43" t="str">
        <f>IF($C347="","",SUM($T$12:T347))</f>
        <v/>
      </c>
      <c r="W347" s="45" t="str">
        <f t="shared" ca="1" si="44"/>
        <v/>
      </c>
    </row>
    <row r="348" spans="3:23" x14ac:dyDescent="0.35">
      <c r="C348" s="42" t="str">
        <f>IF(OR(Overview!$D$33="",Overview!$E$33=""),"",IF(Overview!$D$33+336&gt;Overview!$E$33,"",Overview!$D$33+336))</f>
        <v/>
      </c>
      <c r="D348" s="43" t="str">
        <f t="shared" ca="1" si="45"/>
        <v/>
      </c>
      <c r="E348" s="43" t="str">
        <f t="shared" ca="1" si="45"/>
        <v/>
      </c>
      <c r="F348" s="43" t="str">
        <f t="shared" ca="1" si="45"/>
        <v/>
      </c>
      <c r="G348" s="43" t="str">
        <f t="shared" ca="1" si="45"/>
        <v/>
      </c>
      <c r="H348" s="43" t="str">
        <f t="shared" ca="1" si="45"/>
        <v/>
      </c>
      <c r="I348" s="43" t="str">
        <f t="shared" ca="1" si="45"/>
        <v/>
      </c>
      <c r="J348" s="43" t="str">
        <f t="shared" ca="1" si="45"/>
        <v/>
      </c>
      <c r="K348" s="43" t="str">
        <f t="shared" ca="1" si="45"/>
        <v/>
      </c>
      <c r="L348" s="43" t="str">
        <f t="shared" ca="1" si="45"/>
        <v/>
      </c>
      <c r="M348" s="43" t="str">
        <f t="shared" ca="1" si="45"/>
        <v/>
      </c>
      <c r="N348" s="43" t="str">
        <f t="shared" ca="1" si="45"/>
        <v/>
      </c>
      <c r="O348" s="43" t="str">
        <f t="shared" ca="1" si="45"/>
        <v/>
      </c>
      <c r="P348" s="43" t="str">
        <f t="shared" ca="1" si="45"/>
        <v/>
      </c>
      <c r="Q348" s="43" t="str">
        <f t="shared" ca="1" si="45"/>
        <v/>
      </c>
      <c r="R348" s="43" t="str">
        <f t="shared" ca="1" si="45"/>
        <v/>
      </c>
      <c r="S348" s="44" t="str">
        <f t="shared" si="43"/>
        <v/>
      </c>
      <c r="T348" s="43" t="str">
        <f>IF($C348="","",SUMIFS(Overview!$G$18:$G$32,Overview!$D$18:$D$32,"&lt;="&amp;$C348,Overview!$E$18:$E$32,"&gt;="&amp;$C348))</f>
        <v/>
      </c>
      <c r="U348" s="43" t="str">
        <f ca="1">IF(OR($C348="",Overview!$I$33=""),"",IF($C348&gt;Overview!$I$33,"",SUM($S$12:S348)))</f>
        <v/>
      </c>
      <c r="V348" s="43" t="str">
        <f>IF($C348="","",SUM($T$12:T348))</f>
        <v/>
      </c>
      <c r="W348" s="45" t="str">
        <f t="shared" ca="1" si="44"/>
        <v/>
      </c>
    </row>
    <row r="349" spans="3:23" x14ac:dyDescent="0.35">
      <c r="C349" s="42" t="str">
        <f>IF(OR(Overview!$D$33="",Overview!$E$33=""),"",IF(Overview!$D$33+337&gt;Overview!$E$33,"",Overview!$D$33+337))</f>
        <v/>
      </c>
      <c r="D349" s="43" t="str">
        <f t="shared" ca="1" si="45"/>
        <v/>
      </c>
      <c r="E349" s="43" t="str">
        <f t="shared" ca="1" si="45"/>
        <v/>
      </c>
      <c r="F349" s="43" t="str">
        <f t="shared" ca="1" si="45"/>
        <v/>
      </c>
      <c r="G349" s="43" t="str">
        <f t="shared" ca="1" si="45"/>
        <v/>
      </c>
      <c r="H349" s="43" t="str">
        <f t="shared" ca="1" si="45"/>
        <v/>
      </c>
      <c r="I349" s="43" t="str">
        <f t="shared" ca="1" si="45"/>
        <v/>
      </c>
      <c r="J349" s="43" t="str">
        <f t="shared" ca="1" si="45"/>
        <v/>
      </c>
      <c r="K349" s="43" t="str">
        <f t="shared" ca="1" si="45"/>
        <v/>
      </c>
      <c r="L349" s="43" t="str">
        <f t="shared" ca="1" si="45"/>
        <v/>
      </c>
      <c r="M349" s="43" t="str">
        <f t="shared" ca="1" si="45"/>
        <v/>
      </c>
      <c r="N349" s="43" t="str">
        <f t="shared" ca="1" si="45"/>
        <v/>
      </c>
      <c r="O349" s="43" t="str">
        <f t="shared" ca="1" si="45"/>
        <v/>
      </c>
      <c r="P349" s="43" t="str">
        <f t="shared" ca="1" si="45"/>
        <v/>
      </c>
      <c r="Q349" s="43" t="str">
        <f t="shared" ca="1" si="45"/>
        <v/>
      </c>
      <c r="R349" s="43" t="str">
        <f t="shared" ca="1" si="45"/>
        <v/>
      </c>
      <c r="S349" s="44" t="str">
        <f t="shared" si="43"/>
        <v/>
      </c>
      <c r="T349" s="43" t="str">
        <f>IF($C349="","",SUMIFS(Overview!$G$18:$G$32,Overview!$D$18:$D$32,"&lt;="&amp;$C349,Overview!$E$18:$E$32,"&gt;="&amp;$C349))</f>
        <v/>
      </c>
      <c r="U349" s="43" t="str">
        <f ca="1">IF(OR($C349="",Overview!$I$33=""),"",IF($C349&gt;Overview!$I$33,"",SUM($S$12:S349)))</f>
        <v/>
      </c>
      <c r="V349" s="43" t="str">
        <f>IF($C349="","",SUM($T$12:T349))</f>
        <v/>
      </c>
      <c r="W349" s="45" t="str">
        <f t="shared" ca="1" si="44"/>
        <v/>
      </c>
    </row>
    <row r="350" spans="3:23" x14ac:dyDescent="0.35">
      <c r="C350" s="42" t="str">
        <f>IF(OR(Overview!$D$33="",Overview!$E$33=""),"",IF(Overview!$D$33+338&gt;Overview!$E$33,"",Overview!$D$33+338))</f>
        <v/>
      </c>
      <c r="D350" s="43" t="str">
        <f t="shared" ca="1" si="45"/>
        <v/>
      </c>
      <c r="E350" s="43" t="str">
        <f t="shared" ca="1" si="45"/>
        <v/>
      </c>
      <c r="F350" s="43" t="str">
        <f t="shared" ca="1" si="45"/>
        <v/>
      </c>
      <c r="G350" s="43" t="str">
        <f t="shared" ca="1" si="45"/>
        <v/>
      </c>
      <c r="H350" s="43" t="str">
        <f t="shared" ca="1" si="45"/>
        <v/>
      </c>
      <c r="I350" s="43" t="str">
        <f t="shared" ca="1" si="45"/>
        <v/>
      </c>
      <c r="J350" s="43" t="str">
        <f t="shared" ca="1" si="45"/>
        <v/>
      </c>
      <c r="K350" s="43" t="str">
        <f t="shared" ca="1" si="45"/>
        <v/>
      </c>
      <c r="L350" s="43" t="str">
        <f t="shared" ca="1" si="45"/>
        <v/>
      </c>
      <c r="M350" s="43" t="str">
        <f t="shared" ca="1" si="45"/>
        <v/>
      </c>
      <c r="N350" s="43" t="str">
        <f t="shared" ca="1" si="45"/>
        <v/>
      </c>
      <c r="O350" s="43" t="str">
        <f t="shared" ca="1" si="45"/>
        <v/>
      </c>
      <c r="P350" s="43" t="str">
        <f t="shared" ca="1" si="45"/>
        <v/>
      </c>
      <c r="Q350" s="43" t="str">
        <f t="shared" ca="1" si="45"/>
        <v/>
      </c>
      <c r="R350" s="43" t="str">
        <f t="shared" ca="1" si="45"/>
        <v/>
      </c>
      <c r="S350" s="44" t="str">
        <f t="shared" si="43"/>
        <v/>
      </c>
      <c r="T350" s="43" t="str">
        <f>IF($C350="","",SUMIFS(Overview!$G$18:$G$32,Overview!$D$18:$D$32,"&lt;="&amp;$C350,Overview!$E$18:$E$32,"&gt;="&amp;$C350))</f>
        <v/>
      </c>
      <c r="U350" s="43" t="str">
        <f ca="1">IF(OR($C350="",Overview!$I$33=""),"",IF($C350&gt;Overview!$I$33,"",SUM($S$12:S350)))</f>
        <v/>
      </c>
      <c r="V350" s="43" t="str">
        <f>IF($C350="","",SUM($T$12:T350))</f>
        <v/>
      </c>
      <c r="W350" s="45" t="str">
        <f t="shared" ca="1" si="44"/>
        <v/>
      </c>
    </row>
    <row r="351" spans="3:23" x14ac:dyDescent="0.35">
      <c r="C351" s="42" t="str">
        <f>IF(OR(Overview!$D$33="",Overview!$E$33=""),"",IF(Overview!$D$33+339&gt;Overview!$E$33,"",Overview!$D$33+339))</f>
        <v/>
      </c>
      <c r="D351" s="43" t="str">
        <f t="shared" ca="1" si="45"/>
        <v/>
      </c>
      <c r="E351" s="43" t="str">
        <f t="shared" ca="1" si="45"/>
        <v/>
      </c>
      <c r="F351" s="43" t="str">
        <f t="shared" ca="1" si="45"/>
        <v/>
      </c>
      <c r="G351" s="43" t="str">
        <f t="shared" ca="1" si="45"/>
        <v/>
      </c>
      <c r="H351" s="43" t="str">
        <f t="shared" ca="1" si="45"/>
        <v/>
      </c>
      <c r="I351" s="43" t="str">
        <f t="shared" ca="1" si="45"/>
        <v/>
      </c>
      <c r="J351" s="43" t="str">
        <f t="shared" ca="1" si="45"/>
        <v/>
      </c>
      <c r="K351" s="43" t="str">
        <f t="shared" ca="1" si="45"/>
        <v/>
      </c>
      <c r="L351" s="43" t="str">
        <f t="shared" ca="1" si="45"/>
        <v/>
      </c>
      <c r="M351" s="43" t="str">
        <f t="shared" ca="1" si="45"/>
        <v/>
      </c>
      <c r="N351" s="43" t="str">
        <f t="shared" ca="1" si="45"/>
        <v/>
      </c>
      <c r="O351" s="43" t="str">
        <f t="shared" ca="1" si="45"/>
        <v/>
      </c>
      <c r="P351" s="43" t="str">
        <f t="shared" ca="1" si="45"/>
        <v/>
      </c>
      <c r="Q351" s="43" t="str">
        <f t="shared" ca="1" si="45"/>
        <v/>
      </c>
      <c r="R351" s="43" t="str">
        <f t="shared" ca="1" si="45"/>
        <v/>
      </c>
      <c r="S351" s="44" t="str">
        <f t="shared" si="43"/>
        <v/>
      </c>
      <c r="T351" s="43" t="str">
        <f>IF($C351="","",SUMIFS(Overview!$G$18:$G$32,Overview!$D$18:$D$32,"&lt;="&amp;$C351,Overview!$E$18:$E$32,"&gt;="&amp;$C351))</f>
        <v/>
      </c>
      <c r="U351" s="43" t="str">
        <f ca="1">IF(OR($C351="",Overview!$I$33=""),"",IF($C351&gt;Overview!$I$33,"",SUM($S$12:S351)))</f>
        <v/>
      </c>
      <c r="V351" s="43" t="str">
        <f>IF($C351="","",SUM($T$12:T351))</f>
        <v/>
      </c>
      <c r="W351" s="45" t="str">
        <f t="shared" ca="1" si="44"/>
        <v/>
      </c>
    </row>
    <row r="352" spans="3:23" x14ac:dyDescent="0.35">
      <c r="C352" s="42" t="str">
        <f>IF(OR(Overview!$D$33="",Overview!$E$33=""),"",IF(Overview!$D$33+340&gt;Overview!$E$33,"",Overview!$D$33+340))</f>
        <v/>
      </c>
      <c r="D352" s="43" t="str">
        <f t="shared" ref="D352:R361" ca="1" si="46">IF(OR($C352="",D$11=""),"",IFERROR(SUMIFS(INDIRECT("'"&amp;D$11&amp;"'!$F$14:$F$10013"),INDIRECT("'"&amp;D$11&amp;"'!$C$14:$C$10013"),$C352),""))</f>
        <v/>
      </c>
      <c r="E352" s="43" t="str">
        <f t="shared" ca="1" si="46"/>
        <v/>
      </c>
      <c r="F352" s="43" t="str">
        <f t="shared" ca="1" si="46"/>
        <v/>
      </c>
      <c r="G352" s="43" t="str">
        <f t="shared" ca="1" si="46"/>
        <v/>
      </c>
      <c r="H352" s="43" t="str">
        <f t="shared" ca="1" si="46"/>
        <v/>
      </c>
      <c r="I352" s="43" t="str">
        <f t="shared" ca="1" si="46"/>
        <v/>
      </c>
      <c r="J352" s="43" t="str">
        <f t="shared" ca="1" si="46"/>
        <v/>
      </c>
      <c r="K352" s="43" t="str">
        <f t="shared" ca="1" si="46"/>
        <v/>
      </c>
      <c r="L352" s="43" t="str">
        <f t="shared" ca="1" si="46"/>
        <v/>
      </c>
      <c r="M352" s="43" t="str">
        <f t="shared" ca="1" si="46"/>
        <v/>
      </c>
      <c r="N352" s="43" t="str">
        <f t="shared" ca="1" si="46"/>
        <v/>
      </c>
      <c r="O352" s="43" t="str">
        <f t="shared" ca="1" si="46"/>
        <v/>
      </c>
      <c r="P352" s="43" t="str">
        <f t="shared" ca="1" si="46"/>
        <v/>
      </c>
      <c r="Q352" s="43" t="str">
        <f t="shared" ca="1" si="46"/>
        <v/>
      </c>
      <c r="R352" s="43" t="str">
        <f t="shared" ca="1" si="46"/>
        <v/>
      </c>
      <c r="S352" s="44" t="str">
        <f t="shared" si="43"/>
        <v/>
      </c>
      <c r="T352" s="43" t="str">
        <f>IF($C352="","",SUMIFS(Overview!$G$18:$G$32,Overview!$D$18:$D$32,"&lt;="&amp;$C352,Overview!$E$18:$E$32,"&gt;="&amp;$C352))</f>
        <v/>
      </c>
      <c r="U352" s="43" t="str">
        <f ca="1">IF(OR($C352="",Overview!$I$33=""),"",IF($C352&gt;Overview!$I$33,"",SUM($S$12:S352)))</f>
        <v/>
      </c>
      <c r="V352" s="43" t="str">
        <f>IF($C352="","",SUM($T$12:T352))</f>
        <v/>
      </c>
      <c r="W352" s="45" t="str">
        <f t="shared" ca="1" si="44"/>
        <v/>
      </c>
    </row>
    <row r="353" spans="3:23" x14ac:dyDescent="0.35">
      <c r="C353" s="42" t="str">
        <f>IF(OR(Overview!$D$33="",Overview!$E$33=""),"",IF(Overview!$D$33+341&gt;Overview!$E$33,"",Overview!$D$33+341))</f>
        <v/>
      </c>
      <c r="D353" s="43" t="str">
        <f t="shared" ca="1" si="46"/>
        <v/>
      </c>
      <c r="E353" s="43" t="str">
        <f t="shared" ca="1" si="46"/>
        <v/>
      </c>
      <c r="F353" s="43" t="str">
        <f t="shared" ca="1" si="46"/>
        <v/>
      </c>
      <c r="G353" s="43" t="str">
        <f t="shared" ca="1" si="46"/>
        <v/>
      </c>
      <c r="H353" s="43" t="str">
        <f t="shared" ca="1" si="46"/>
        <v/>
      </c>
      <c r="I353" s="43" t="str">
        <f t="shared" ca="1" si="46"/>
        <v/>
      </c>
      <c r="J353" s="43" t="str">
        <f t="shared" ca="1" si="46"/>
        <v/>
      </c>
      <c r="K353" s="43" t="str">
        <f t="shared" ca="1" si="46"/>
        <v/>
      </c>
      <c r="L353" s="43" t="str">
        <f t="shared" ca="1" si="46"/>
        <v/>
      </c>
      <c r="M353" s="43" t="str">
        <f t="shared" ca="1" si="46"/>
        <v/>
      </c>
      <c r="N353" s="43" t="str">
        <f t="shared" ca="1" si="46"/>
        <v/>
      </c>
      <c r="O353" s="43" t="str">
        <f t="shared" ca="1" si="46"/>
        <v/>
      </c>
      <c r="P353" s="43" t="str">
        <f t="shared" ca="1" si="46"/>
        <v/>
      </c>
      <c r="Q353" s="43" t="str">
        <f t="shared" ca="1" si="46"/>
        <v/>
      </c>
      <c r="R353" s="43" t="str">
        <f t="shared" ca="1" si="46"/>
        <v/>
      </c>
      <c r="S353" s="44" t="str">
        <f t="shared" si="43"/>
        <v/>
      </c>
      <c r="T353" s="43" t="str">
        <f>IF($C353="","",SUMIFS(Overview!$G$18:$G$32,Overview!$D$18:$D$32,"&lt;="&amp;$C353,Overview!$E$18:$E$32,"&gt;="&amp;$C353))</f>
        <v/>
      </c>
      <c r="U353" s="43" t="str">
        <f ca="1">IF(OR($C353="",Overview!$I$33=""),"",IF($C353&gt;Overview!$I$33,"",SUM($S$12:S353)))</f>
        <v/>
      </c>
      <c r="V353" s="43" t="str">
        <f>IF($C353="","",SUM($T$12:T353))</f>
        <v/>
      </c>
      <c r="W353" s="45" t="str">
        <f t="shared" ca="1" si="44"/>
        <v/>
      </c>
    </row>
    <row r="354" spans="3:23" x14ac:dyDescent="0.35">
      <c r="C354" s="42" t="str">
        <f>IF(OR(Overview!$D$33="",Overview!$E$33=""),"",IF(Overview!$D$33+342&gt;Overview!$E$33,"",Overview!$D$33+342))</f>
        <v/>
      </c>
      <c r="D354" s="43" t="str">
        <f t="shared" ca="1" si="46"/>
        <v/>
      </c>
      <c r="E354" s="43" t="str">
        <f t="shared" ca="1" si="46"/>
        <v/>
      </c>
      <c r="F354" s="43" t="str">
        <f t="shared" ca="1" si="46"/>
        <v/>
      </c>
      <c r="G354" s="43" t="str">
        <f t="shared" ca="1" si="46"/>
        <v/>
      </c>
      <c r="H354" s="43" t="str">
        <f t="shared" ca="1" si="46"/>
        <v/>
      </c>
      <c r="I354" s="43" t="str">
        <f t="shared" ca="1" si="46"/>
        <v/>
      </c>
      <c r="J354" s="43" t="str">
        <f t="shared" ca="1" si="46"/>
        <v/>
      </c>
      <c r="K354" s="43" t="str">
        <f t="shared" ca="1" si="46"/>
        <v/>
      </c>
      <c r="L354" s="43" t="str">
        <f t="shared" ca="1" si="46"/>
        <v/>
      </c>
      <c r="M354" s="43" t="str">
        <f t="shared" ca="1" si="46"/>
        <v/>
      </c>
      <c r="N354" s="43" t="str">
        <f t="shared" ca="1" si="46"/>
        <v/>
      </c>
      <c r="O354" s="43" t="str">
        <f t="shared" ca="1" si="46"/>
        <v/>
      </c>
      <c r="P354" s="43" t="str">
        <f t="shared" ca="1" si="46"/>
        <v/>
      </c>
      <c r="Q354" s="43" t="str">
        <f t="shared" ca="1" si="46"/>
        <v/>
      </c>
      <c r="R354" s="43" t="str">
        <f t="shared" ca="1" si="46"/>
        <v/>
      </c>
      <c r="S354" s="44" t="str">
        <f t="shared" si="43"/>
        <v/>
      </c>
      <c r="T354" s="43" t="str">
        <f>IF($C354="","",SUMIFS(Overview!$G$18:$G$32,Overview!$D$18:$D$32,"&lt;="&amp;$C354,Overview!$E$18:$E$32,"&gt;="&amp;$C354))</f>
        <v/>
      </c>
      <c r="U354" s="43" t="str">
        <f ca="1">IF(OR($C354="",Overview!$I$33=""),"",IF($C354&gt;Overview!$I$33,"",SUM($S$12:S354)))</f>
        <v/>
      </c>
      <c r="V354" s="43" t="str">
        <f>IF($C354="","",SUM($T$12:T354))</f>
        <v/>
      </c>
      <c r="W354" s="45" t="str">
        <f t="shared" ca="1" si="44"/>
        <v/>
      </c>
    </row>
    <row r="355" spans="3:23" x14ac:dyDescent="0.35">
      <c r="C355" s="42" t="str">
        <f>IF(OR(Overview!$D$33="",Overview!$E$33=""),"",IF(Overview!$D$33+343&gt;Overview!$E$33,"",Overview!$D$33+343))</f>
        <v/>
      </c>
      <c r="D355" s="43" t="str">
        <f t="shared" ca="1" si="46"/>
        <v/>
      </c>
      <c r="E355" s="43" t="str">
        <f t="shared" ca="1" si="46"/>
        <v/>
      </c>
      <c r="F355" s="43" t="str">
        <f t="shared" ca="1" si="46"/>
        <v/>
      </c>
      <c r="G355" s="43" t="str">
        <f t="shared" ca="1" si="46"/>
        <v/>
      </c>
      <c r="H355" s="43" t="str">
        <f t="shared" ca="1" si="46"/>
        <v/>
      </c>
      <c r="I355" s="43" t="str">
        <f t="shared" ca="1" si="46"/>
        <v/>
      </c>
      <c r="J355" s="43" t="str">
        <f t="shared" ca="1" si="46"/>
        <v/>
      </c>
      <c r="K355" s="43" t="str">
        <f t="shared" ca="1" si="46"/>
        <v/>
      </c>
      <c r="L355" s="43" t="str">
        <f t="shared" ca="1" si="46"/>
        <v/>
      </c>
      <c r="M355" s="43" t="str">
        <f t="shared" ca="1" si="46"/>
        <v/>
      </c>
      <c r="N355" s="43" t="str">
        <f t="shared" ca="1" si="46"/>
        <v/>
      </c>
      <c r="O355" s="43" t="str">
        <f t="shared" ca="1" si="46"/>
        <v/>
      </c>
      <c r="P355" s="43" t="str">
        <f t="shared" ca="1" si="46"/>
        <v/>
      </c>
      <c r="Q355" s="43" t="str">
        <f t="shared" ca="1" si="46"/>
        <v/>
      </c>
      <c r="R355" s="43" t="str">
        <f t="shared" ca="1" si="46"/>
        <v/>
      </c>
      <c r="S355" s="44" t="str">
        <f t="shared" si="43"/>
        <v/>
      </c>
      <c r="T355" s="43" t="str">
        <f>IF($C355="","",SUMIFS(Overview!$G$18:$G$32,Overview!$D$18:$D$32,"&lt;="&amp;$C355,Overview!$E$18:$E$32,"&gt;="&amp;$C355))</f>
        <v/>
      </c>
      <c r="U355" s="43" t="str">
        <f ca="1">IF(OR($C355="",Overview!$I$33=""),"",IF($C355&gt;Overview!$I$33,"",SUM($S$12:S355)))</f>
        <v/>
      </c>
      <c r="V355" s="43" t="str">
        <f>IF($C355="","",SUM($T$12:T355))</f>
        <v/>
      </c>
      <c r="W355" s="45" t="str">
        <f t="shared" ca="1" si="44"/>
        <v/>
      </c>
    </row>
    <row r="356" spans="3:23" x14ac:dyDescent="0.35">
      <c r="C356" s="42" t="str">
        <f>IF(OR(Overview!$D$33="",Overview!$E$33=""),"",IF(Overview!$D$33+344&gt;Overview!$E$33,"",Overview!$D$33+344))</f>
        <v/>
      </c>
      <c r="D356" s="43" t="str">
        <f t="shared" ca="1" si="46"/>
        <v/>
      </c>
      <c r="E356" s="43" t="str">
        <f t="shared" ca="1" si="46"/>
        <v/>
      </c>
      <c r="F356" s="43" t="str">
        <f t="shared" ca="1" si="46"/>
        <v/>
      </c>
      <c r="G356" s="43" t="str">
        <f t="shared" ca="1" si="46"/>
        <v/>
      </c>
      <c r="H356" s="43" t="str">
        <f t="shared" ca="1" si="46"/>
        <v/>
      </c>
      <c r="I356" s="43" t="str">
        <f t="shared" ca="1" si="46"/>
        <v/>
      </c>
      <c r="J356" s="43" t="str">
        <f t="shared" ca="1" si="46"/>
        <v/>
      </c>
      <c r="K356" s="43" t="str">
        <f t="shared" ca="1" si="46"/>
        <v/>
      </c>
      <c r="L356" s="43" t="str">
        <f t="shared" ca="1" si="46"/>
        <v/>
      </c>
      <c r="M356" s="43" t="str">
        <f t="shared" ca="1" si="46"/>
        <v/>
      </c>
      <c r="N356" s="43" t="str">
        <f t="shared" ca="1" si="46"/>
        <v/>
      </c>
      <c r="O356" s="43" t="str">
        <f t="shared" ca="1" si="46"/>
        <v/>
      </c>
      <c r="P356" s="43" t="str">
        <f t="shared" ca="1" si="46"/>
        <v/>
      </c>
      <c r="Q356" s="43" t="str">
        <f t="shared" ca="1" si="46"/>
        <v/>
      </c>
      <c r="R356" s="43" t="str">
        <f t="shared" ca="1" si="46"/>
        <v/>
      </c>
      <c r="S356" s="44" t="str">
        <f t="shared" si="43"/>
        <v/>
      </c>
      <c r="T356" s="43" t="str">
        <f>IF($C356="","",SUMIFS(Overview!$G$18:$G$32,Overview!$D$18:$D$32,"&lt;="&amp;$C356,Overview!$E$18:$E$32,"&gt;="&amp;$C356))</f>
        <v/>
      </c>
      <c r="U356" s="43" t="str">
        <f ca="1">IF(OR($C356="",Overview!$I$33=""),"",IF($C356&gt;Overview!$I$33,"",SUM($S$12:S356)))</f>
        <v/>
      </c>
      <c r="V356" s="43" t="str">
        <f>IF($C356="","",SUM($T$12:T356))</f>
        <v/>
      </c>
      <c r="W356" s="45" t="str">
        <f t="shared" ca="1" si="44"/>
        <v/>
      </c>
    </row>
    <row r="357" spans="3:23" x14ac:dyDescent="0.35">
      <c r="C357" s="42" t="str">
        <f>IF(OR(Overview!$D$33="",Overview!$E$33=""),"",IF(Overview!$D$33+345&gt;Overview!$E$33,"",Overview!$D$33+345))</f>
        <v/>
      </c>
      <c r="D357" s="43" t="str">
        <f t="shared" ca="1" si="46"/>
        <v/>
      </c>
      <c r="E357" s="43" t="str">
        <f t="shared" ca="1" si="46"/>
        <v/>
      </c>
      <c r="F357" s="43" t="str">
        <f t="shared" ca="1" si="46"/>
        <v/>
      </c>
      <c r="G357" s="43" t="str">
        <f t="shared" ca="1" si="46"/>
        <v/>
      </c>
      <c r="H357" s="43" t="str">
        <f t="shared" ca="1" si="46"/>
        <v/>
      </c>
      <c r="I357" s="43" t="str">
        <f t="shared" ca="1" si="46"/>
        <v/>
      </c>
      <c r="J357" s="43" t="str">
        <f t="shared" ca="1" si="46"/>
        <v/>
      </c>
      <c r="K357" s="43" t="str">
        <f t="shared" ca="1" si="46"/>
        <v/>
      </c>
      <c r="L357" s="43" t="str">
        <f t="shared" ca="1" si="46"/>
        <v/>
      </c>
      <c r="M357" s="43" t="str">
        <f t="shared" ca="1" si="46"/>
        <v/>
      </c>
      <c r="N357" s="43" t="str">
        <f t="shared" ca="1" si="46"/>
        <v/>
      </c>
      <c r="O357" s="43" t="str">
        <f t="shared" ca="1" si="46"/>
        <v/>
      </c>
      <c r="P357" s="43" t="str">
        <f t="shared" ca="1" si="46"/>
        <v/>
      </c>
      <c r="Q357" s="43" t="str">
        <f t="shared" ca="1" si="46"/>
        <v/>
      </c>
      <c r="R357" s="43" t="str">
        <f t="shared" ca="1" si="46"/>
        <v/>
      </c>
      <c r="S357" s="44" t="str">
        <f t="shared" si="43"/>
        <v/>
      </c>
      <c r="T357" s="43" t="str">
        <f>IF($C357="","",SUMIFS(Overview!$G$18:$G$32,Overview!$D$18:$D$32,"&lt;="&amp;$C357,Overview!$E$18:$E$32,"&gt;="&amp;$C357))</f>
        <v/>
      </c>
      <c r="U357" s="43" t="str">
        <f ca="1">IF(OR($C357="",Overview!$I$33=""),"",IF($C357&gt;Overview!$I$33,"",SUM($S$12:S357)))</f>
        <v/>
      </c>
      <c r="V357" s="43" t="str">
        <f>IF($C357="","",SUM($T$12:T357))</f>
        <v/>
      </c>
      <c r="W357" s="45" t="str">
        <f t="shared" ca="1" si="44"/>
        <v/>
      </c>
    </row>
    <row r="358" spans="3:23" x14ac:dyDescent="0.35">
      <c r="C358" s="42" t="str">
        <f>IF(OR(Overview!$D$33="",Overview!$E$33=""),"",IF(Overview!$D$33+346&gt;Overview!$E$33,"",Overview!$D$33+346))</f>
        <v/>
      </c>
      <c r="D358" s="43" t="str">
        <f t="shared" ca="1" si="46"/>
        <v/>
      </c>
      <c r="E358" s="43" t="str">
        <f t="shared" ca="1" si="46"/>
        <v/>
      </c>
      <c r="F358" s="43" t="str">
        <f t="shared" ca="1" si="46"/>
        <v/>
      </c>
      <c r="G358" s="43" t="str">
        <f t="shared" ca="1" si="46"/>
        <v/>
      </c>
      <c r="H358" s="43" t="str">
        <f t="shared" ca="1" si="46"/>
        <v/>
      </c>
      <c r="I358" s="43" t="str">
        <f t="shared" ca="1" si="46"/>
        <v/>
      </c>
      <c r="J358" s="43" t="str">
        <f t="shared" ca="1" si="46"/>
        <v/>
      </c>
      <c r="K358" s="43" t="str">
        <f t="shared" ca="1" si="46"/>
        <v/>
      </c>
      <c r="L358" s="43" t="str">
        <f t="shared" ca="1" si="46"/>
        <v/>
      </c>
      <c r="M358" s="43" t="str">
        <f t="shared" ca="1" si="46"/>
        <v/>
      </c>
      <c r="N358" s="43" t="str">
        <f t="shared" ca="1" si="46"/>
        <v/>
      </c>
      <c r="O358" s="43" t="str">
        <f t="shared" ca="1" si="46"/>
        <v/>
      </c>
      <c r="P358" s="43" t="str">
        <f t="shared" ca="1" si="46"/>
        <v/>
      </c>
      <c r="Q358" s="43" t="str">
        <f t="shared" ca="1" si="46"/>
        <v/>
      </c>
      <c r="R358" s="43" t="str">
        <f t="shared" ca="1" si="46"/>
        <v/>
      </c>
      <c r="S358" s="44" t="str">
        <f t="shared" si="43"/>
        <v/>
      </c>
      <c r="T358" s="43" t="str">
        <f>IF($C358="","",SUMIFS(Overview!$G$18:$G$32,Overview!$D$18:$D$32,"&lt;="&amp;$C358,Overview!$E$18:$E$32,"&gt;="&amp;$C358))</f>
        <v/>
      </c>
      <c r="U358" s="43" t="str">
        <f ca="1">IF(OR($C358="",Overview!$I$33=""),"",IF($C358&gt;Overview!$I$33,"",SUM($S$12:S358)))</f>
        <v/>
      </c>
      <c r="V358" s="43" t="str">
        <f>IF($C358="","",SUM($T$12:T358))</f>
        <v/>
      </c>
      <c r="W358" s="45" t="str">
        <f t="shared" ca="1" si="44"/>
        <v/>
      </c>
    </row>
    <row r="359" spans="3:23" x14ac:dyDescent="0.35">
      <c r="C359" s="42" t="str">
        <f>IF(OR(Overview!$D$33="",Overview!$E$33=""),"",IF(Overview!$D$33+347&gt;Overview!$E$33,"",Overview!$D$33+347))</f>
        <v/>
      </c>
      <c r="D359" s="43" t="str">
        <f t="shared" ca="1" si="46"/>
        <v/>
      </c>
      <c r="E359" s="43" t="str">
        <f t="shared" ca="1" si="46"/>
        <v/>
      </c>
      <c r="F359" s="43" t="str">
        <f t="shared" ca="1" si="46"/>
        <v/>
      </c>
      <c r="G359" s="43" t="str">
        <f t="shared" ca="1" si="46"/>
        <v/>
      </c>
      <c r="H359" s="43" t="str">
        <f t="shared" ca="1" si="46"/>
        <v/>
      </c>
      <c r="I359" s="43" t="str">
        <f t="shared" ca="1" si="46"/>
        <v/>
      </c>
      <c r="J359" s="43" t="str">
        <f t="shared" ca="1" si="46"/>
        <v/>
      </c>
      <c r="K359" s="43" t="str">
        <f t="shared" ca="1" si="46"/>
        <v/>
      </c>
      <c r="L359" s="43" t="str">
        <f t="shared" ca="1" si="46"/>
        <v/>
      </c>
      <c r="M359" s="43" t="str">
        <f t="shared" ca="1" si="46"/>
        <v/>
      </c>
      <c r="N359" s="43" t="str">
        <f t="shared" ca="1" si="46"/>
        <v/>
      </c>
      <c r="O359" s="43" t="str">
        <f t="shared" ca="1" si="46"/>
        <v/>
      </c>
      <c r="P359" s="43" t="str">
        <f t="shared" ca="1" si="46"/>
        <v/>
      </c>
      <c r="Q359" s="43" t="str">
        <f t="shared" ca="1" si="46"/>
        <v/>
      </c>
      <c r="R359" s="43" t="str">
        <f t="shared" ca="1" si="46"/>
        <v/>
      </c>
      <c r="S359" s="44" t="str">
        <f t="shared" si="43"/>
        <v/>
      </c>
      <c r="T359" s="43" t="str">
        <f>IF($C359="","",SUMIFS(Overview!$G$18:$G$32,Overview!$D$18:$D$32,"&lt;="&amp;$C359,Overview!$E$18:$E$32,"&gt;="&amp;$C359))</f>
        <v/>
      </c>
      <c r="U359" s="43" t="str">
        <f ca="1">IF(OR($C359="",Overview!$I$33=""),"",IF($C359&gt;Overview!$I$33,"",SUM($S$12:S359)))</f>
        <v/>
      </c>
      <c r="V359" s="43" t="str">
        <f>IF($C359="","",SUM($T$12:T359))</f>
        <v/>
      </c>
      <c r="W359" s="45" t="str">
        <f t="shared" ca="1" si="44"/>
        <v/>
      </c>
    </row>
    <row r="360" spans="3:23" x14ac:dyDescent="0.35">
      <c r="C360" s="42" t="str">
        <f>IF(OR(Overview!$D$33="",Overview!$E$33=""),"",IF(Overview!$D$33+348&gt;Overview!$E$33,"",Overview!$D$33+348))</f>
        <v/>
      </c>
      <c r="D360" s="43" t="str">
        <f t="shared" ca="1" si="46"/>
        <v/>
      </c>
      <c r="E360" s="43" t="str">
        <f t="shared" ca="1" si="46"/>
        <v/>
      </c>
      <c r="F360" s="43" t="str">
        <f t="shared" ca="1" si="46"/>
        <v/>
      </c>
      <c r="G360" s="43" t="str">
        <f t="shared" ca="1" si="46"/>
        <v/>
      </c>
      <c r="H360" s="43" t="str">
        <f t="shared" ca="1" si="46"/>
        <v/>
      </c>
      <c r="I360" s="43" t="str">
        <f t="shared" ca="1" si="46"/>
        <v/>
      </c>
      <c r="J360" s="43" t="str">
        <f t="shared" ca="1" si="46"/>
        <v/>
      </c>
      <c r="K360" s="43" t="str">
        <f t="shared" ca="1" si="46"/>
        <v/>
      </c>
      <c r="L360" s="43" t="str">
        <f t="shared" ca="1" si="46"/>
        <v/>
      </c>
      <c r="M360" s="43" t="str">
        <f t="shared" ca="1" si="46"/>
        <v/>
      </c>
      <c r="N360" s="43" t="str">
        <f t="shared" ca="1" si="46"/>
        <v/>
      </c>
      <c r="O360" s="43" t="str">
        <f t="shared" ca="1" si="46"/>
        <v/>
      </c>
      <c r="P360" s="43" t="str">
        <f t="shared" ca="1" si="46"/>
        <v/>
      </c>
      <c r="Q360" s="43" t="str">
        <f t="shared" ca="1" si="46"/>
        <v/>
      </c>
      <c r="R360" s="43" t="str">
        <f t="shared" ca="1" si="46"/>
        <v/>
      </c>
      <c r="S360" s="44" t="str">
        <f t="shared" si="43"/>
        <v/>
      </c>
      <c r="T360" s="43" t="str">
        <f>IF($C360="","",SUMIFS(Overview!$G$18:$G$32,Overview!$D$18:$D$32,"&lt;="&amp;$C360,Overview!$E$18:$E$32,"&gt;="&amp;$C360))</f>
        <v/>
      </c>
      <c r="U360" s="43" t="str">
        <f ca="1">IF(OR($C360="",Overview!$I$33=""),"",IF($C360&gt;Overview!$I$33,"",SUM($S$12:S360)))</f>
        <v/>
      </c>
      <c r="V360" s="43" t="str">
        <f>IF($C360="","",SUM($T$12:T360))</f>
        <v/>
      </c>
      <c r="W360" s="45" t="str">
        <f t="shared" ca="1" si="44"/>
        <v/>
      </c>
    </row>
    <row r="361" spans="3:23" x14ac:dyDescent="0.35">
      <c r="C361" s="42" t="str">
        <f>IF(OR(Overview!$D$33="",Overview!$E$33=""),"",IF(Overview!$D$33+349&gt;Overview!$E$33,"",Overview!$D$33+349))</f>
        <v/>
      </c>
      <c r="D361" s="43" t="str">
        <f t="shared" ca="1" si="46"/>
        <v/>
      </c>
      <c r="E361" s="43" t="str">
        <f t="shared" ca="1" si="46"/>
        <v/>
      </c>
      <c r="F361" s="43" t="str">
        <f t="shared" ca="1" si="46"/>
        <v/>
      </c>
      <c r="G361" s="43" t="str">
        <f t="shared" ca="1" si="46"/>
        <v/>
      </c>
      <c r="H361" s="43" t="str">
        <f t="shared" ca="1" si="46"/>
        <v/>
      </c>
      <c r="I361" s="43" t="str">
        <f t="shared" ca="1" si="46"/>
        <v/>
      </c>
      <c r="J361" s="43" t="str">
        <f t="shared" ca="1" si="46"/>
        <v/>
      </c>
      <c r="K361" s="43" t="str">
        <f t="shared" ca="1" si="46"/>
        <v/>
      </c>
      <c r="L361" s="43" t="str">
        <f t="shared" ca="1" si="46"/>
        <v/>
      </c>
      <c r="M361" s="43" t="str">
        <f t="shared" ca="1" si="46"/>
        <v/>
      </c>
      <c r="N361" s="43" t="str">
        <f t="shared" ca="1" si="46"/>
        <v/>
      </c>
      <c r="O361" s="43" t="str">
        <f t="shared" ca="1" si="46"/>
        <v/>
      </c>
      <c r="P361" s="43" t="str">
        <f t="shared" ca="1" si="46"/>
        <v/>
      </c>
      <c r="Q361" s="43" t="str">
        <f t="shared" ca="1" si="46"/>
        <v/>
      </c>
      <c r="R361" s="43" t="str">
        <f t="shared" ca="1" si="46"/>
        <v/>
      </c>
      <c r="S361" s="44" t="str">
        <f t="shared" si="43"/>
        <v/>
      </c>
      <c r="T361" s="43" t="str">
        <f>IF($C361="","",SUMIFS(Overview!$G$18:$G$32,Overview!$D$18:$D$32,"&lt;="&amp;$C361,Overview!$E$18:$E$32,"&gt;="&amp;$C361))</f>
        <v/>
      </c>
      <c r="U361" s="43" t="str">
        <f ca="1">IF(OR($C361="",Overview!$I$33=""),"",IF($C361&gt;Overview!$I$33,"",SUM($S$12:S361)))</f>
        <v/>
      </c>
      <c r="V361" s="43" t="str">
        <f>IF($C361="","",SUM($T$12:T361))</f>
        <v/>
      </c>
      <c r="W361" s="45" t="str">
        <f t="shared" ca="1" si="44"/>
        <v/>
      </c>
    </row>
    <row r="362" spans="3:23" x14ac:dyDescent="0.35">
      <c r="C362" s="42" t="str">
        <f>IF(OR(Overview!$D$33="",Overview!$E$33=""),"",IF(Overview!$D$33+350&gt;Overview!$E$33,"",Overview!$D$33+350))</f>
        <v/>
      </c>
      <c r="D362" s="43" t="str">
        <f t="shared" ref="D362:R371" ca="1" si="47">IF(OR($C362="",D$11=""),"",IFERROR(SUMIFS(INDIRECT("'"&amp;D$11&amp;"'!$F$14:$F$10013"),INDIRECT("'"&amp;D$11&amp;"'!$C$14:$C$10013"),$C362),""))</f>
        <v/>
      </c>
      <c r="E362" s="43" t="str">
        <f t="shared" ca="1" si="47"/>
        <v/>
      </c>
      <c r="F362" s="43" t="str">
        <f t="shared" ca="1" si="47"/>
        <v/>
      </c>
      <c r="G362" s="43" t="str">
        <f t="shared" ca="1" si="47"/>
        <v/>
      </c>
      <c r="H362" s="43" t="str">
        <f t="shared" ca="1" si="47"/>
        <v/>
      </c>
      <c r="I362" s="43" t="str">
        <f t="shared" ca="1" si="47"/>
        <v/>
      </c>
      <c r="J362" s="43" t="str">
        <f t="shared" ca="1" si="47"/>
        <v/>
      </c>
      <c r="K362" s="43" t="str">
        <f t="shared" ca="1" si="47"/>
        <v/>
      </c>
      <c r="L362" s="43" t="str">
        <f t="shared" ca="1" si="47"/>
        <v/>
      </c>
      <c r="M362" s="43" t="str">
        <f t="shared" ca="1" si="47"/>
        <v/>
      </c>
      <c r="N362" s="43" t="str">
        <f t="shared" ca="1" si="47"/>
        <v/>
      </c>
      <c r="O362" s="43" t="str">
        <f t="shared" ca="1" si="47"/>
        <v/>
      </c>
      <c r="P362" s="43" t="str">
        <f t="shared" ca="1" si="47"/>
        <v/>
      </c>
      <c r="Q362" s="43" t="str">
        <f t="shared" ca="1" si="47"/>
        <v/>
      </c>
      <c r="R362" s="43" t="str">
        <f t="shared" ca="1" si="47"/>
        <v/>
      </c>
      <c r="S362" s="44" t="str">
        <f t="shared" si="43"/>
        <v/>
      </c>
      <c r="T362" s="43" t="str">
        <f>IF($C362="","",SUMIFS(Overview!$G$18:$G$32,Overview!$D$18:$D$32,"&lt;="&amp;$C362,Overview!$E$18:$E$32,"&gt;="&amp;$C362))</f>
        <v/>
      </c>
      <c r="U362" s="43" t="str">
        <f ca="1">IF(OR($C362="",Overview!$I$33=""),"",IF($C362&gt;Overview!$I$33,"",SUM($S$12:S362)))</f>
        <v/>
      </c>
      <c r="V362" s="43" t="str">
        <f>IF($C362="","",SUM($T$12:T362))</f>
        <v/>
      </c>
      <c r="W362" s="45" t="str">
        <f t="shared" ca="1" si="44"/>
        <v/>
      </c>
    </row>
    <row r="363" spans="3:23" x14ac:dyDescent="0.35">
      <c r="C363" s="42" t="str">
        <f>IF(OR(Overview!$D$33="",Overview!$E$33=""),"",IF(Overview!$D$33+351&gt;Overview!$E$33,"",Overview!$D$33+351))</f>
        <v/>
      </c>
      <c r="D363" s="43" t="str">
        <f t="shared" ca="1" si="47"/>
        <v/>
      </c>
      <c r="E363" s="43" t="str">
        <f t="shared" ca="1" si="47"/>
        <v/>
      </c>
      <c r="F363" s="43" t="str">
        <f t="shared" ca="1" si="47"/>
        <v/>
      </c>
      <c r="G363" s="43" t="str">
        <f t="shared" ca="1" si="47"/>
        <v/>
      </c>
      <c r="H363" s="43" t="str">
        <f t="shared" ca="1" si="47"/>
        <v/>
      </c>
      <c r="I363" s="43" t="str">
        <f t="shared" ca="1" si="47"/>
        <v/>
      </c>
      <c r="J363" s="43" t="str">
        <f t="shared" ca="1" si="47"/>
        <v/>
      </c>
      <c r="K363" s="43" t="str">
        <f t="shared" ca="1" si="47"/>
        <v/>
      </c>
      <c r="L363" s="43" t="str">
        <f t="shared" ca="1" si="47"/>
        <v/>
      </c>
      <c r="M363" s="43" t="str">
        <f t="shared" ca="1" si="47"/>
        <v/>
      </c>
      <c r="N363" s="43" t="str">
        <f t="shared" ca="1" si="47"/>
        <v/>
      </c>
      <c r="O363" s="43" t="str">
        <f t="shared" ca="1" si="47"/>
        <v/>
      </c>
      <c r="P363" s="43" t="str">
        <f t="shared" ca="1" si="47"/>
        <v/>
      </c>
      <c r="Q363" s="43" t="str">
        <f t="shared" ca="1" si="47"/>
        <v/>
      </c>
      <c r="R363" s="43" t="str">
        <f t="shared" ca="1" si="47"/>
        <v/>
      </c>
      <c r="S363" s="44" t="str">
        <f t="shared" si="43"/>
        <v/>
      </c>
      <c r="T363" s="43" t="str">
        <f>IF($C363="","",SUMIFS(Overview!$G$18:$G$32,Overview!$D$18:$D$32,"&lt;="&amp;$C363,Overview!$E$18:$E$32,"&gt;="&amp;$C363))</f>
        <v/>
      </c>
      <c r="U363" s="43" t="str">
        <f ca="1">IF(OR($C363="",Overview!$I$33=""),"",IF($C363&gt;Overview!$I$33,"",SUM($S$12:S363)))</f>
        <v/>
      </c>
      <c r="V363" s="43" t="str">
        <f>IF($C363="","",SUM($T$12:T363))</f>
        <v/>
      </c>
      <c r="W363" s="45" t="str">
        <f t="shared" ca="1" si="44"/>
        <v/>
      </c>
    </row>
    <row r="364" spans="3:23" x14ac:dyDescent="0.35">
      <c r="C364" s="42" t="str">
        <f>IF(OR(Overview!$D$33="",Overview!$E$33=""),"",IF(Overview!$D$33+352&gt;Overview!$E$33,"",Overview!$D$33+352))</f>
        <v/>
      </c>
      <c r="D364" s="43" t="str">
        <f t="shared" ca="1" si="47"/>
        <v/>
      </c>
      <c r="E364" s="43" t="str">
        <f t="shared" ca="1" si="47"/>
        <v/>
      </c>
      <c r="F364" s="43" t="str">
        <f t="shared" ca="1" si="47"/>
        <v/>
      </c>
      <c r="G364" s="43" t="str">
        <f t="shared" ca="1" si="47"/>
        <v/>
      </c>
      <c r="H364" s="43" t="str">
        <f t="shared" ca="1" si="47"/>
        <v/>
      </c>
      <c r="I364" s="43" t="str">
        <f t="shared" ca="1" si="47"/>
        <v/>
      </c>
      <c r="J364" s="43" t="str">
        <f t="shared" ca="1" si="47"/>
        <v/>
      </c>
      <c r="K364" s="43" t="str">
        <f t="shared" ca="1" si="47"/>
        <v/>
      </c>
      <c r="L364" s="43" t="str">
        <f t="shared" ca="1" si="47"/>
        <v/>
      </c>
      <c r="M364" s="43" t="str">
        <f t="shared" ca="1" si="47"/>
        <v/>
      </c>
      <c r="N364" s="43" t="str">
        <f t="shared" ca="1" si="47"/>
        <v/>
      </c>
      <c r="O364" s="43" t="str">
        <f t="shared" ca="1" si="47"/>
        <v/>
      </c>
      <c r="P364" s="43" t="str">
        <f t="shared" ca="1" si="47"/>
        <v/>
      </c>
      <c r="Q364" s="43" t="str">
        <f t="shared" ca="1" si="47"/>
        <v/>
      </c>
      <c r="R364" s="43" t="str">
        <f t="shared" ca="1" si="47"/>
        <v/>
      </c>
      <c r="S364" s="44" t="str">
        <f t="shared" si="43"/>
        <v/>
      </c>
      <c r="T364" s="43" t="str">
        <f>IF($C364="","",SUMIFS(Overview!$G$18:$G$32,Overview!$D$18:$D$32,"&lt;="&amp;$C364,Overview!$E$18:$E$32,"&gt;="&amp;$C364))</f>
        <v/>
      </c>
      <c r="U364" s="43" t="str">
        <f ca="1">IF(OR($C364="",Overview!$I$33=""),"",IF($C364&gt;Overview!$I$33,"",SUM($S$12:S364)))</f>
        <v/>
      </c>
      <c r="V364" s="43" t="str">
        <f>IF($C364="","",SUM($T$12:T364))</f>
        <v/>
      </c>
      <c r="W364" s="45" t="str">
        <f t="shared" ca="1" si="44"/>
        <v/>
      </c>
    </row>
    <row r="365" spans="3:23" x14ac:dyDescent="0.35">
      <c r="C365" s="42" t="str">
        <f>IF(OR(Overview!$D$33="",Overview!$E$33=""),"",IF(Overview!$D$33+353&gt;Overview!$E$33,"",Overview!$D$33+353))</f>
        <v/>
      </c>
      <c r="D365" s="43" t="str">
        <f t="shared" ca="1" si="47"/>
        <v/>
      </c>
      <c r="E365" s="43" t="str">
        <f t="shared" ca="1" si="47"/>
        <v/>
      </c>
      <c r="F365" s="43" t="str">
        <f t="shared" ca="1" si="47"/>
        <v/>
      </c>
      <c r="G365" s="43" t="str">
        <f t="shared" ca="1" si="47"/>
        <v/>
      </c>
      <c r="H365" s="43" t="str">
        <f t="shared" ca="1" si="47"/>
        <v/>
      </c>
      <c r="I365" s="43" t="str">
        <f t="shared" ca="1" si="47"/>
        <v/>
      </c>
      <c r="J365" s="43" t="str">
        <f t="shared" ca="1" si="47"/>
        <v/>
      </c>
      <c r="K365" s="43" t="str">
        <f t="shared" ca="1" si="47"/>
        <v/>
      </c>
      <c r="L365" s="43" t="str">
        <f t="shared" ca="1" si="47"/>
        <v/>
      </c>
      <c r="M365" s="43" t="str">
        <f t="shared" ca="1" si="47"/>
        <v/>
      </c>
      <c r="N365" s="43" t="str">
        <f t="shared" ca="1" si="47"/>
        <v/>
      </c>
      <c r="O365" s="43" t="str">
        <f t="shared" ca="1" si="47"/>
        <v/>
      </c>
      <c r="P365" s="43" t="str">
        <f t="shared" ca="1" si="47"/>
        <v/>
      </c>
      <c r="Q365" s="43" t="str">
        <f t="shared" ca="1" si="47"/>
        <v/>
      </c>
      <c r="R365" s="43" t="str">
        <f t="shared" ca="1" si="47"/>
        <v/>
      </c>
      <c r="S365" s="44" t="str">
        <f t="shared" si="43"/>
        <v/>
      </c>
      <c r="T365" s="43" t="str">
        <f>IF($C365="","",SUMIFS(Overview!$G$18:$G$32,Overview!$D$18:$D$32,"&lt;="&amp;$C365,Overview!$E$18:$E$32,"&gt;="&amp;$C365))</f>
        <v/>
      </c>
      <c r="U365" s="43" t="str">
        <f ca="1">IF(OR($C365="",Overview!$I$33=""),"",IF($C365&gt;Overview!$I$33,"",SUM($S$12:S365)))</f>
        <v/>
      </c>
      <c r="V365" s="43" t="str">
        <f>IF($C365="","",SUM($T$12:T365))</f>
        <v/>
      </c>
      <c r="W365" s="45" t="str">
        <f t="shared" ca="1" si="44"/>
        <v/>
      </c>
    </row>
    <row r="366" spans="3:23" x14ac:dyDescent="0.35">
      <c r="C366" s="42" t="str">
        <f>IF(OR(Overview!$D$33="",Overview!$E$33=""),"",IF(Overview!$D$33+354&gt;Overview!$E$33,"",Overview!$D$33+354))</f>
        <v/>
      </c>
      <c r="D366" s="43" t="str">
        <f t="shared" ca="1" si="47"/>
        <v/>
      </c>
      <c r="E366" s="43" t="str">
        <f t="shared" ca="1" si="47"/>
        <v/>
      </c>
      <c r="F366" s="43" t="str">
        <f t="shared" ca="1" si="47"/>
        <v/>
      </c>
      <c r="G366" s="43" t="str">
        <f t="shared" ca="1" si="47"/>
        <v/>
      </c>
      <c r="H366" s="43" t="str">
        <f t="shared" ca="1" si="47"/>
        <v/>
      </c>
      <c r="I366" s="43" t="str">
        <f t="shared" ca="1" si="47"/>
        <v/>
      </c>
      <c r="J366" s="43" t="str">
        <f t="shared" ca="1" si="47"/>
        <v/>
      </c>
      <c r="K366" s="43" t="str">
        <f t="shared" ca="1" si="47"/>
        <v/>
      </c>
      <c r="L366" s="43" t="str">
        <f t="shared" ca="1" si="47"/>
        <v/>
      </c>
      <c r="M366" s="43" t="str">
        <f t="shared" ca="1" si="47"/>
        <v/>
      </c>
      <c r="N366" s="43" t="str">
        <f t="shared" ca="1" si="47"/>
        <v/>
      </c>
      <c r="O366" s="43" t="str">
        <f t="shared" ca="1" si="47"/>
        <v/>
      </c>
      <c r="P366" s="43" t="str">
        <f t="shared" ca="1" si="47"/>
        <v/>
      </c>
      <c r="Q366" s="43" t="str">
        <f t="shared" ca="1" si="47"/>
        <v/>
      </c>
      <c r="R366" s="43" t="str">
        <f t="shared" ca="1" si="47"/>
        <v/>
      </c>
      <c r="S366" s="44" t="str">
        <f t="shared" si="43"/>
        <v/>
      </c>
      <c r="T366" s="43" t="str">
        <f>IF($C366="","",SUMIFS(Overview!$G$18:$G$32,Overview!$D$18:$D$32,"&lt;="&amp;$C366,Overview!$E$18:$E$32,"&gt;="&amp;$C366))</f>
        <v/>
      </c>
      <c r="U366" s="43" t="str">
        <f ca="1">IF(OR($C366="",Overview!$I$33=""),"",IF($C366&gt;Overview!$I$33,"",SUM($S$12:S366)))</f>
        <v/>
      </c>
      <c r="V366" s="43" t="str">
        <f>IF($C366="","",SUM($T$12:T366))</f>
        <v/>
      </c>
      <c r="W366" s="45" t="str">
        <f t="shared" ca="1" si="44"/>
        <v/>
      </c>
    </row>
    <row r="367" spans="3:23" x14ac:dyDescent="0.35">
      <c r="C367" s="42" t="str">
        <f>IF(OR(Overview!$D$33="",Overview!$E$33=""),"",IF(Overview!$D$33+355&gt;Overview!$E$33,"",Overview!$D$33+355))</f>
        <v/>
      </c>
      <c r="D367" s="43" t="str">
        <f t="shared" ca="1" si="47"/>
        <v/>
      </c>
      <c r="E367" s="43" t="str">
        <f t="shared" ca="1" si="47"/>
        <v/>
      </c>
      <c r="F367" s="43" t="str">
        <f t="shared" ca="1" si="47"/>
        <v/>
      </c>
      <c r="G367" s="43" t="str">
        <f t="shared" ca="1" si="47"/>
        <v/>
      </c>
      <c r="H367" s="43" t="str">
        <f t="shared" ca="1" si="47"/>
        <v/>
      </c>
      <c r="I367" s="43" t="str">
        <f t="shared" ca="1" si="47"/>
        <v/>
      </c>
      <c r="J367" s="43" t="str">
        <f t="shared" ca="1" si="47"/>
        <v/>
      </c>
      <c r="K367" s="43" t="str">
        <f t="shared" ca="1" si="47"/>
        <v/>
      </c>
      <c r="L367" s="43" t="str">
        <f t="shared" ca="1" si="47"/>
        <v/>
      </c>
      <c r="M367" s="43" t="str">
        <f t="shared" ca="1" si="47"/>
        <v/>
      </c>
      <c r="N367" s="43" t="str">
        <f t="shared" ca="1" si="47"/>
        <v/>
      </c>
      <c r="O367" s="43" t="str">
        <f t="shared" ca="1" si="47"/>
        <v/>
      </c>
      <c r="P367" s="43" t="str">
        <f t="shared" ca="1" si="47"/>
        <v/>
      </c>
      <c r="Q367" s="43" t="str">
        <f t="shared" ca="1" si="47"/>
        <v/>
      </c>
      <c r="R367" s="43" t="str">
        <f t="shared" ca="1" si="47"/>
        <v/>
      </c>
      <c r="S367" s="44" t="str">
        <f t="shared" si="43"/>
        <v/>
      </c>
      <c r="T367" s="43" t="str">
        <f>IF($C367="","",SUMIFS(Overview!$G$18:$G$32,Overview!$D$18:$D$32,"&lt;="&amp;$C367,Overview!$E$18:$E$32,"&gt;="&amp;$C367))</f>
        <v/>
      </c>
      <c r="U367" s="43" t="str">
        <f ca="1">IF(OR($C367="",Overview!$I$33=""),"",IF($C367&gt;Overview!$I$33,"",SUM($S$12:S367)))</f>
        <v/>
      </c>
      <c r="V367" s="43" t="str">
        <f>IF($C367="","",SUM($T$12:T367))</f>
        <v/>
      </c>
      <c r="W367" s="45" t="str">
        <f t="shared" ca="1" si="44"/>
        <v/>
      </c>
    </row>
    <row r="368" spans="3:23" x14ac:dyDescent="0.35">
      <c r="C368" s="42" t="str">
        <f>IF(OR(Overview!$D$33="",Overview!$E$33=""),"",IF(Overview!$D$33+356&gt;Overview!$E$33,"",Overview!$D$33+356))</f>
        <v/>
      </c>
      <c r="D368" s="43" t="str">
        <f t="shared" ca="1" si="47"/>
        <v/>
      </c>
      <c r="E368" s="43" t="str">
        <f t="shared" ca="1" si="47"/>
        <v/>
      </c>
      <c r="F368" s="43" t="str">
        <f t="shared" ca="1" si="47"/>
        <v/>
      </c>
      <c r="G368" s="43" t="str">
        <f t="shared" ca="1" si="47"/>
        <v/>
      </c>
      <c r="H368" s="43" t="str">
        <f t="shared" ca="1" si="47"/>
        <v/>
      </c>
      <c r="I368" s="43" t="str">
        <f t="shared" ca="1" si="47"/>
        <v/>
      </c>
      <c r="J368" s="43" t="str">
        <f t="shared" ca="1" si="47"/>
        <v/>
      </c>
      <c r="K368" s="43" t="str">
        <f t="shared" ca="1" si="47"/>
        <v/>
      </c>
      <c r="L368" s="43" t="str">
        <f t="shared" ca="1" si="47"/>
        <v/>
      </c>
      <c r="M368" s="43" t="str">
        <f t="shared" ca="1" si="47"/>
        <v/>
      </c>
      <c r="N368" s="43" t="str">
        <f t="shared" ca="1" si="47"/>
        <v/>
      </c>
      <c r="O368" s="43" t="str">
        <f t="shared" ca="1" si="47"/>
        <v/>
      </c>
      <c r="P368" s="43" t="str">
        <f t="shared" ca="1" si="47"/>
        <v/>
      </c>
      <c r="Q368" s="43" t="str">
        <f t="shared" ca="1" si="47"/>
        <v/>
      </c>
      <c r="R368" s="43" t="str">
        <f t="shared" ca="1" si="47"/>
        <v/>
      </c>
      <c r="S368" s="44" t="str">
        <f t="shared" si="43"/>
        <v/>
      </c>
      <c r="T368" s="43" t="str">
        <f>IF($C368="","",SUMIFS(Overview!$G$18:$G$32,Overview!$D$18:$D$32,"&lt;="&amp;$C368,Overview!$E$18:$E$32,"&gt;="&amp;$C368))</f>
        <v/>
      </c>
      <c r="U368" s="43" t="str">
        <f ca="1">IF(OR($C368="",Overview!$I$33=""),"",IF($C368&gt;Overview!$I$33,"",SUM($S$12:S368)))</f>
        <v/>
      </c>
      <c r="V368" s="43" t="str">
        <f>IF($C368="","",SUM($T$12:T368))</f>
        <v/>
      </c>
      <c r="W368" s="45" t="str">
        <f t="shared" ca="1" si="44"/>
        <v/>
      </c>
    </row>
    <row r="369" spans="3:23" x14ac:dyDescent="0.35">
      <c r="C369" s="42" t="str">
        <f>IF(OR(Overview!$D$33="",Overview!$E$33=""),"",IF(Overview!$D$33+357&gt;Overview!$E$33,"",Overview!$D$33+357))</f>
        <v/>
      </c>
      <c r="D369" s="43" t="str">
        <f t="shared" ca="1" si="47"/>
        <v/>
      </c>
      <c r="E369" s="43" t="str">
        <f t="shared" ca="1" si="47"/>
        <v/>
      </c>
      <c r="F369" s="43" t="str">
        <f t="shared" ca="1" si="47"/>
        <v/>
      </c>
      <c r="G369" s="43" t="str">
        <f t="shared" ca="1" si="47"/>
        <v/>
      </c>
      <c r="H369" s="43" t="str">
        <f t="shared" ca="1" si="47"/>
        <v/>
      </c>
      <c r="I369" s="43" t="str">
        <f t="shared" ca="1" si="47"/>
        <v/>
      </c>
      <c r="J369" s="43" t="str">
        <f t="shared" ca="1" si="47"/>
        <v/>
      </c>
      <c r="K369" s="43" t="str">
        <f t="shared" ca="1" si="47"/>
        <v/>
      </c>
      <c r="L369" s="43" t="str">
        <f t="shared" ca="1" si="47"/>
        <v/>
      </c>
      <c r="M369" s="43" t="str">
        <f t="shared" ca="1" si="47"/>
        <v/>
      </c>
      <c r="N369" s="43" t="str">
        <f t="shared" ca="1" si="47"/>
        <v/>
      </c>
      <c r="O369" s="43" t="str">
        <f t="shared" ca="1" si="47"/>
        <v/>
      </c>
      <c r="P369" s="43" t="str">
        <f t="shared" ca="1" si="47"/>
        <v/>
      </c>
      <c r="Q369" s="43" t="str">
        <f t="shared" ca="1" si="47"/>
        <v/>
      </c>
      <c r="R369" s="43" t="str">
        <f t="shared" ca="1" si="47"/>
        <v/>
      </c>
      <c r="S369" s="44" t="str">
        <f t="shared" si="43"/>
        <v/>
      </c>
      <c r="T369" s="43" t="str">
        <f>IF($C369="","",SUMIFS(Overview!$G$18:$G$32,Overview!$D$18:$D$32,"&lt;="&amp;$C369,Overview!$E$18:$E$32,"&gt;="&amp;$C369))</f>
        <v/>
      </c>
      <c r="U369" s="43" t="str">
        <f ca="1">IF(OR($C369="",Overview!$I$33=""),"",IF($C369&gt;Overview!$I$33,"",SUM($S$12:S369)))</f>
        <v/>
      </c>
      <c r="V369" s="43" t="str">
        <f>IF($C369="","",SUM($T$12:T369))</f>
        <v/>
      </c>
      <c r="W369" s="45" t="str">
        <f t="shared" ca="1" si="44"/>
        <v/>
      </c>
    </row>
    <row r="370" spans="3:23" x14ac:dyDescent="0.35">
      <c r="C370" s="42" t="str">
        <f>IF(OR(Overview!$D$33="",Overview!$E$33=""),"",IF(Overview!$D$33+358&gt;Overview!$E$33,"",Overview!$D$33+358))</f>
        <v/>
      </c>
      <c r="D370" s="43" t="str">
        <f t="shared" ca="1" si="47"/>
        <v/>
      </c>
      <c r="E370" s="43" t="str">
        <f t="shared" ca="1" si="47"/>
        <v/>
      </c>
      <c r="F370" s="43" t="str">
        <f t="shared" ca="1" si="47"/>
        <v/>
      </c>
      <c r="G370" s="43" t="str">
        <f t="shared" ca="1" si="47"/>
        <v/>
      </c>
      <c r="H370" s="43" t="str">
        <f t="shared" ca="1" si="47"/>
        <v/>
      </c>
      <c r="I370" s="43" t="str">
        <f t="shared" ca="1" si="47"/>
        <v/>
      </c>
      <c r="J370" s="43" t="str">
        <f t="shared" ca="1" si="47"/>
        <v/>
      </c>
      <c r="K370" s="43" t="str">
        <f t="shared" ca="1" si="47"/>
        <v/>
      </c>
      <c r="L370" s="43" t="str">
        <f t="shared" ca="1" si="47"/>
        <v/>
      </c>
      <c r="M370" s="43" t="str">
        <f t="shared" ca="1" si="47"/>
        <v/>
      </c>
      <c r="N370" s="43" t="str">
        <f t="shared" ca="1" si="47"/>
        <v/>
      </c>
      <c r="O370" s="43" t="str">
        <f t="shared" ca="1" si="47"/>
        <v/>
      </c>
      <c r="P370" s="43" t="str">
        <f t="shared" ca="1" si="47"/>
        <v/>
      </c>
      <c r="Q370" s="43" t="str">
        <f t="shared" ca="1" si="47"/>
        <v/>
      </c>
      <c r="R370" s="43" t="str">
        <f t="shared" ca="1" si="47"/>
        <v/>
      </c>
      <c r="S370" s="44" t="str">
        <f t="shared" si="43"/>
        <v/>
      </c>
      <c r="T370" s="43" t="str">
        <f>IF($C370="","",SUMIFS(Overview!$G$18:$G$32,Overview!$D$18:$D$32,"&lt;="&amp;$C370,Overview!$E$18:$E$32,"&gt;="&amp;$C370))</f>
        <v/>
      </c>
      <c r="U370" s="43" t="str">
        <f ca="1">IF(OR($C370="",Overview!$I$33=""),"",IF($C370&gt;Overview!$I$33,"",SUM($S$12:S370)))</f>
        <v/>
      </c>
      <c r="V370" s="43" t="str">
        <f>IF($C370="","",SUM($T$12:T370))</f>
        <v/>
      </c>
      <c r="W370" s="45" t="str">
        <f t="shared" ca="1" si="44"/>
        <v/>
      </c>
    </row>
    <row r="371" spans="3:23" x14ac:dyDescent="0.35">
      <c r="C371" s="42" t="str">
        <f>IF(OR(Overview!$D$33="",Overview!$E$33=""),"",IF(Overview!$D$33+359&gt;Overview!$E$33,"",Overview!$D$33+359))</f>
        <v/>
      </c>
      <c r="D371" s="43" t="str">
        <f t="shared" ca="1" si="47"/>
        <v/>
      </c>
      <c r="E371" s="43" t="str">
        <f t="shared" ca="1" si="47"/>
        <v/>
      </c>
      <c r="F371" s="43" t="str">
        <f t="shared" ca="1" si="47"/>
        <v/>
      </c>
      <c r="G371" s="43" t="str">
        <f t="shared" ca="1" si="47"/>
        <v/>
      </c>
      <c r="H371" s="43" t="str">
        <f t="shared" ca="1" si="47"/>
        <v/>
      </c>
      <c r="I371" s="43" t="str">
        <f t="shared" ca="1" si="47"/>
        <v/>
      </c>
      <c r="J371" s="43" t="str">
        <f t="shared" ca="1" si="47"/>
        <v/>
      </c>
      <c r="K371" s="43" t="str">
        <f t="shared" ca="1" si="47"/>
        <v/>
      </c>
      <c r="L371" s="43" t="str">
        <f t="shared" ca="1" si="47"/>
        <v/>
      </c>
      <c r="M371" s="43" t="str">
        <f t="shared" ca="1" si="47"/>
        <v/>
      </c>
      <c r="N371" s="43" t="str">
        <f t="shared" ca="1" si="47"/>
        <v/>
      </c>
      <c r="O371" s="43" t="str">
        <f t="shared" ca="1" si="47"/>
        <v/>
      </c>
      <c r="P371" s="43" t="str">
        <f t="shared" ca="1" si="47"/>
        <v/>
      </c>
      <c r="Q371" s="43" t="str">
        <f t="shared" ca="1" si="47"/>
        <v/>
      </c>
      <c r="R371" s="43" t="str">
        <f t="shared" ca="1" si="47"/>
        <v/>
      </c>
      <c r="S371" s="44" t="str">
        <f t="shared" si="43"/>
        <v/>
      </c>
      <c r="T371" s="43" t="str">
        <f>IF($C371="","",SUMIFS(Overview!$G$18:$G$32,Overview!$D$18:$D$32,"&lt;="&amp;$C371,Overview!$E$18:$E$32,"&gt;="&amp;$C371))</f>
        <v/>
      </c>
      <c r="U371" s="43" t="str">
        <f ca="1">IF(OR($C371="",Overview!$I$33=""),"",IF($C371&gt;Overview!$I$33,"",SUM($S$12:S371)))</f>
        <v/>
      </c>
      <c r="V371" s="43" t="str">
        <f>IF($C371="","",SUM($T$12:T371))</f>
        <v/>
      </c>
      <c r="W371" s="45" t="str">
        <f t="shared" ca="1" si="44"/>
        <v/>
      </c>
    </row>
    <row r="372" spans="3:23" x14ac:dyDescent="0.35">
      <c r="C372" s="42" t="str">
        <f>IF(OR(Overview!$D$33="",Overview!$E$33=""),"",IF(Overview!$D$33+360&gt;Overview!$E$33,"",Overview!$D$33+360))</f>
        <v/>
      </c>
      <c r="D372" s="43" t="str">
        <f t="shared" ref="D372:R377" ca="1" si="48">IF(OR($C372="",D$11=""),"",IFERROR(SUMIFS(INDIRECT("'"&amp;D$11&amp;"'!$F$14:$F$10013"),INDIRECT("'"&amp;D$11&amp;"'!$C$14:$C$10013"),$C372),""))</f>
        <v/>
      </c>
      <c r="E372" s="43" t="str">
        <f t="shared" ca="1" si="48"/>
        <v/>
      </c>
      <c r="F372" s="43" t="str">
        <f t="shared" ca="1" si="48"/>
        <v/>
      </c>
      <c r="G372" s="43" t="str">
        <f t="shared" ca="1" si="48"/>
        <v/>
      </c>
      <c r="H372" s="43" t="str">
        <f t="shared" ca="1" si="48"/>
        <v/>
      </c>
      <c r="I372" s="43" t="str">
        <f t="shared" ca="1" si="48"/>
        <v/>
      </c>
      <c r="J372" s="43" t="str">
        <f t="shared" ca="1" si="48"/>
        <v/>
      </c>
      <c r="K372" s="43" t="str">
        <f t="shared" ca="1" si="48"/>
        <v/>
      </c>
      <c r="L372" s="43" t="str">
        <f t="shared" ca="1" si="48"/>
        <v/>
      </c>
      <c r="M372" s="43" t="str">
        <f t="shared" ca="1" si="48"/>
        <v/>
      </c>
      <c r="N372" s="43" t="str">
        <f t="shared" ca="1" si="48"/>
        <v/>
      </c>
      <c r="O372" s="43" t="str">
        <f t="shared" ca="1" si="48"/>
        <v/>
      </c>
      <c r="P372" s="43" t="str">
        <f t="shared" ca="1" si="48"/>
        <v/>
      </c>
      <c r="Q372" s="43" t="str">
        <f t="shared" ca="1" si="48"/>
        <v/>
      </c>
      <c r="R372" s="43" t="str">
        <f t="shared" ca="1" si="48"/>
        <v/>
      </c>
      <c r="S372" s="44" t="str">
        <f t="shared" si="43"/>
        <v/>
      </c>
      <c r="T372" s="43" t="str">
        <f>IF($C372="","",SUMIFS(Overview!$G$18:$G$32,Overview!$D$18:$D$32,"&lt;="&amp;$C372,Overview!$E$18:$E$32,"&gt;="&amp;$C372))</f>
        <v/>
      </c>
      <c r="U372" s="43" t="str">
        <f ca="1">IF(OR($C372="",Overview!$I$33=""),"",IF($C372&gt;Overview!$I$33,"",SUM($S$12:S372)))</f>
        <v/>
      </c>
      <c r="V372" s="43" t="str">
        <f>IF($C372="","",SUM($T$12:T372))</f>
        <v/>
      </c>
      <c r="W372" s="45" t="str">
        <f t="shared" ca="1" si="44"/>
        <v/>
      </c>
    </row>
    <row r="373" spans="3:23" x14ac:dyDescent="0.35">
      <c r="C373" s="42" t="str">
        <f>IF(OR(Overview!$D$33="",Overview!$E$33=""),"",IF(Overview!$D$33+361&gt;Overview!$E$33,"",Overview!$D$33+361))</f>
        <v/>
      </c>
      <c r="D373" s="43" t="str">
        <f t="shared" ca="1" si="48"/>
        <v/>
      </c>
      <c r="E373" s="43" t="str">
        <f t="shared" ca="1" si="48"/>
        <v/>
      </c>
      <c r="F373" s="43" t="str">
        <f t="shared" ca="1" si="48"/>
        <v/>
      </c>
      <c r="G373" s="43" t="str">
        <f t="shared" ca="1" si="48"/>
        <v/>
      </c>
      <c r="H373" s="43" t="str">
        <f t="shared" ca="1" si="48"/>
        <v/>
      </c>
      <c r="I373" s="43" t="str">
        <f t="shared" ca="1" si="48"/>
        <v/>
      </c>
      <c r="J373" s="43" t="str">
        <f t="shared" ca="1" si="48"/>
        <v/>
      </c>
      <c r="K373" s="43" t="str">
        <f t="shared" ca="1" si="48"/>
        <v/>
      </c>
      <c r="L373" s="43" t="str">
        <f t="shared" ca="1" si="48"/>
        <v/>
      </c>
      <c r="M373" s="43" t="str">
        <f t="shared" ca="1" si="48"/>
        <v/>
      </c>
      <c r="N373" s="43" t="str">
        <f t="shared" ca="1" si="48"/>
        <v/>
      </c>
      <c r="O373" s="43" t="str">
        <f t="shared" ca="1" si="48"/>
        <v/>
      </c>
      <c r="P373" s="43" t="str">
        <f t="shared" ca="1" si="48"/>
        <v/>
      </c>
      <c r="Q373" s="43" t="str">
        <f t="shared" ca="1" si="48"/>
        <v/>
      </c>
      <c r="R373" s="43" t="str">
        <f t="shared" ca="1" si="48"/>
        <v/>
      </c>
      <c r="S373" s="44" t="str">
        <f t="shared" si="43"/>
        <v/>
      </c>
      <c r="T373" s="43" t="str">
        <f>IF($C373="","",SUMIFS(Overview!$G$18:$G$32,Overview!$D$18:$D$32,"&lt;="&amp;$C373,Overview!$E$18:$E$32,"&gt;="&amp;$C373))</f>
        <v/>
      </c>
      <c r="U373" s="43" t="str">
        <f ca="1">IF(OR($C373="",Overview!$I$33=""),"",IF($C373&gt;Overview!$I$33,"",SUM($S$12:S373)))</f>
        <v/>
      </c>
      <c r="V373" s="43" t="str">
        <f>IF($C373="","",SUM($T$12:T373))</f>
        <v/>
      </c>
      <c r="W373" s="45" t="str">
        <f t="shared" ca="1" si="44"/>
        <v/>
      </c>
    </row>
    <row r="374" spans="3:23" x14ac:dyDescent="0.35">
      <c r="C374" s="42" t="str">
        <f>IF(OR(Overview!$D$33="",Overview!$E$33=""),"",IF(Overview!$D$33+362&gt;Overview!$E$33,"",Overview!$D$33+362))</f>
        <v/>
      </c>
      <c r="D374" s="43" t="str">
        <f t="shared" ca="1" si="48"/>
        <v/>
      </c>
      <c r="E374" s="43" t="str">
        <f t="shared" ca="1" si="48"/>
        <v/>
      </c>
      <c r="F374" s="43" t="str">
        <f t="shared" ca="1" si="48"/>
        <v/>
      </c>
      <c r="G374" s="43" t="str">
        <f t="shared" ca="1" si="48"/>
        <v/>
      </c>
      <c r="H374" s="43" t="str">
        <f t="shared" ca="1" si="48"/>
        <v/>
      </c>
      <c r="I374" s="43" t="str">
        <f t="shared" ca="1" si="48"/>
        <v/>
      </c>
      <c r="J374" s="43" t="str">
        <f t="shared" ca="1" si="48"/>
        <v/>
      </c>
      <c r="K374" s="43" t="str">
        <f t="shared" ca="1" si="48"/>
        <v/>
      </c>
      <c r="L374" s="43" t="str">
        <f t="shared" ca="1" si="48"/>
        <v/>
      </c>
      <c r="M374" s="43" t="str">
        <f t="shared" ca="1" si="48"/>
        <v/>
      </c>
      <c r="N374" s="43" t="str">
        <f t="shared" ca="1" si="48"/>
        <v/>
      </c>
      <c r="O374" s="43" t="str">
        <f t="shared" ca="1" si="48"/>
        <v/>
      </c>
      <c r="P374" s="43" t="str">
        <f t="shared" ca="1" si="48"/>
        <v/>
      </c>
      <c r="Q374" s="43" t="str">
        <f t="shared" ca="1" si="48"/>
        <v/>
      </c>
      <c r="R374" s="43" t="str">
        <f t="shared" ca="1" si="48"/>
        <v/>
      </c>
      <c r="S374" s="44" t="str">
        <f t="shared" si="43"/>
        <v/>
      </c>
      <c r="T374" s="43" t="str">
        <f>IF($C374="","",SUMIFS(Overview!$G$18:$G$32,Overview!$D$18:$D$32,"&lt;="&amp;$C374,Overview!$E$18:$E$32,"&gt;="&amp;$C374))</f>
        <v/>
      </c>
      <c r="U374" s="43" t="str">
        <f ca="1">IF(OR($C374="",Overview!$I$33=""),"",IF($C374&gt;Overview!$I$33,"",SUM($S$12:S374)))</f>
        <v/>
      </c>
      <c r="V374" s="43" t="str">
        <f>IF($C374="","",SUM($T$12:T374))</f>
        <v/>
      </c>
      <c r="W374" s="45" t="str">
        <f t="shared" ca="1" si="44"/>
        <v/>
      </c>
    </row>
    <row r="375" spans="3:23" x14ac:dyDescent="0.35">
      <c r="C375" s="42" t="str">
        <f>IF(OR(Overview!$D$33="",Overview!$E$33=""),"",IF(Overview!$D$33+363&gt;Overview!$E$33,"",Overview!$D$33+363))</f>
        <v/>
      </c>
      <c r="D375" s="43" t="str">
        <f t="shared" ca="1" si="48"/>
        <v/>
      </c>
      <c r="E375" s="43" t="str">
        <f t="shared" ca="1" si="48"/>
        <v/>
      </c>
      <c r="F375" s="43" t="str">
        <f t="shared" ca="1" si="48"/>
        <v/>
      </c>
      <c r="G375" s="43" t="str">
        <f t="shared" ca="1" si="48"/>
        <v/>
      </c>
      <c r="H375" s="43" t="str">
        <f t="shared" ca="1" si="48"/>
        <v/>
      </c>
      <c r="I375" s="43" t="str">
        <f t="shared" ca="1" si="48"/>
        <v/>
      </c>
      <c r="J375" s="43" t="str">
        <f t="shared" ca="1" si="48"/>
        <v/>
      </c>
      <c r="K375" s="43" t="str">
        <f t="shared" ca="1" si="48"/>
        <v/>
      </c>
      <c r="L375" s="43" t="str">
        <f t="shared" ca="1" si="48"/>
        <v/>
      </c>
      <c r="M375" s="43" t="str">
        <f t="shared" ca="1" si="48"/>
        <v/>
      </c>
      <c r="N375" s="43" t="str">
        <f t="shared" ca="1" si="48"/>
        <v/>
      </c>
      <c r="O375" s="43" t="str">
        <f t="shared" ca="1" si="48"/>
        <v/>
      </c>
      <c r="P375" s="43" t="str">
        <f t="shared" ca="1" si="48"/>
        <v/>
      </c>
      <c r="Q375" s="43" t="str">
        <f t="shared" ca="1" si="48"/>
        <v/>
      </c>
      <c r="R375" s="43" t="str">
        <f t="shared" ca="1" si="48"/>
        <v/>
      </c>
      <c r="S375" s="44" t="str">
        <f t="shared" si="43"/>
        <v/>
      </c>
      <c r="T375" s="43" t="str">
        <f>IF($C375="","",SUMIFS(Overview!$G$18:$G$32,Overview!$D$18:$D$32,"&lt;="&amp;$C375,Overview!$E$18:$E$32,"&gt;="&amp;$C375))</f>
        <v/>
      </c>
      <c r="U375" s="43" t="str">
        <f ca="1">IF(OR($C375="",Overview!$I$33=""),"",IF($C375&gt;Overview!$I$33,"",SUM($S$12:S375)))</f>
        <v/>
      </c>
      <c r="V375" s="43" t="str">
        <f>IF($C375="","",SUM($T$12:T375))</f>
        <v/>
      </c>
      <c r="W375" s="45" t="str">
        <f t="shared" ca="1" si="44"/>
        <v/>
      </c>
    </row>
    <row r="376" spans="3:23" x14ac:dyDescent="0.35">
      <c r="C376" s="42" t="str">
        <f>IF(OR(Overview!$D$33="",Overview!$E$33=""),"",IF(Overview!$D$33+364&gt;Overview!$E$33,"",Overview!$D$33+364))</f>
        <v/>
      </c>
      <c r="D376" s="43" t="str">
        <f t="shared" ca="1" si="48"/>
        <v/>
      </c>
      <c r="E376" s="43" t="str">
        <f t="shared" ca="1" si="48"/>
        <v/>
      </c>
      <c r="F376" s="43" t="str">
        <f t="shared" ca="1" si="48"/>
        <v/>
      </c>
      <c r="G376" s="43" t="str">
        <f t="shared" ca="1" si="48"/>
        <v/>
      </c>
      <c r="H376" s="43" t="str">
        <f t="shared" ca="1" si="48"/>
        <v/>
      </c>
      <c r="I376" s="43" t="str">
        <f t="shared" ca="1" si="48"/>
        <v/>
      </c>
      <c r="J376" s="43" t="str">
        <f t="shared" ca="1" si="48"/>
        <v/>
      </c>
      <c r="K376" s="43" t="str">
        <f t="shared" ca="1" si="48"/>
        <v/>
      </c>
      <c r="L376" s="43" t="str">
        <f t="shared" ca="1" si="48"/>
        <v/>
      </c>
      <c r="M376" s="43" t="str">
        <f t="shared" ca="1" si="48"/>
        <v/>
      </c>
      <c r="N376" s="43" t="str">
        <f t="shared" ca="1" si="48"/>
        <v/>
      </c>
      <c r="O376" s="43" t="str">
        <f t="shared" ca="1" si="48"/>
        <v/>
      </c>
      <c r="P376" s="43" t="str">
        <f t="shared" ca="1" si="48"/>
        <v/>
      </c>
      <c r="Q376" s="43" t="str">
        <f t="shared" ca="1" si="48"/>
        <v/>
      </c>
      <c r="R376" s="43" t="str">
        <f t="shared" ca="1" si="48"/>
        <v/>
      </c>
      <c r="S376" s="44" t="str">
        <f t="shared" si="43"/>
        <v/>
      </c>
      <c r="T376" s="43" t="str">
        <f>IF($C376="","",SUMIFS(Overview!$G$18:$G$32,Overview!$D$18:$D$32,"&lt;="&amp;$C376,Overview!$E$18:$E$32,"&gt;="&amp;$C376))</f>
        <v/>
      </c>
      <c r="U376" s="43" t="str">
        <f ca="1">IF(OR($C376="",Overview!$I$33=""),"",IF($C376&gt;Overview!$I$33,"",SUM($S$12:S376)))</f>
        <v/>
      </c>
      <c r="V376" s="43" t="str">
        <f>IF($C376="","",SUM($T$12:T376))</f>
        <v/>
      </c>
      <c r="W376" s="45" t="str">
        <f t="shared" ca="1" si="44"/>
        <v/>
      </c>
    </row>
    <row r="377" spans="3:23" x14ac:dyDescent="0.35">
      <c r="C377" s="42" t="str">
        <f>IF(OR(Overview!$D$33="",Overview!$E$33=""),"",IF(Overview!$D$33+365&gt;Overview!$E$33,"",Overview!$D$33+365))</f>
        <v/>
      </c>
      <c r="D377" s="43" t="str">
        <f t="shared" ca="1" si="48"/>
        <v/>
      </c>
      <c r="E377" s="43" t="str">
        <f t="shared" ca="1" si="48"/>
        <v/>
      </c>
      <c r="F377" s="43" t="str">
        <f t="shared" ca="1" si="48"/>
        <v/>
      </c>
      <c r="G377" s="43" t="str">
        <f t="shared" ca="1" si="48"/>
        <v/>
      </c>
      <c r="H377" s="43" t="str">
        <f t="shared" ca="1" si="48"/>
        <v/>
      </c>
      <c r="I377" s="43" t="str">
        <f t="shared" ca="1" si="48"/>
        <v/>
      </c>
      <c r="J377" s="43" t="str">
        <f t="shared" ca="1" si="48"/>
        <v/>
      </c>
      <c r="K377" s="43" t="str">
        <f t="shared" ca="1" si="48"/>
        <v/>
      </c>
      <c r="L377" s="43" t="str">
        <f t="shared" ca="1" si="48"/>
        <v/>
      </c>
      <c r="M377" s="43" t="str">
        <f t="shared" ca="1" si="48"/>
        <v/>
      </c>
      <c r="N377" s="43" t="str">
        <f t="shared" ca="1" si="48"/>
        <v/>
      </c>
      <c r="O377" s="43" t="str">
        <f t="shared" ca="1" si="48"/>
        <v/>
      </c>
      <c r="P377" s="43" t="str">
        <f t="shared" ca="1" si="48"/>
        <v/>
      </c>
      <c r="Q377" s="43" t="str">
        <f t="shared" ca="1" si="48"/>
        <v/>
      </c>
      <c r="R377" s="43" t="str">
        <f t="shared" ca="1" si="48"/>
        <v/>
      </c>
      <c r="S377" s="44" t="str">
        <f t="shared" si="43"/>
        <v/>
      </c>
      <c r="T377" s="43" t="str">
        <f>IF($C377="","",SUMIFS(Overview!$G$18:$G$32,Overview!$D$18:$D$32,"&lt;="&amp;$C377,Overview!$E$18:$E$32,"&gt;="&amp;$C377))</f>
        <v/>
      </c>
      <c r="U377" s="43" t="str">
        <f ca="1">IF(OR($C377="",Overview!$I$33=""),"",IF($C377&gt;Overview!$I$33,"",SUM($S$12:S377)))</f>
        <v/>
      </c>
      <c r="V377" s="43" t="str">
        <f>IF($C377="","",SUM($T$12:T377))</f>
        <v/>
      </c>
      <c r="W377" s="45" t="str">
        <f t="shared" ca="1" si="44"/>
        <v/>
      </c>
    </row>
  </sheetData>
  <mergeCells count="3">
    <mergeCell ref="S2:W3"/>
    <mergeCell ref="D6:F6"/>
    <mergeCell ref="D7:F7"/>
  </mergeCells>
  <conditionalFormatting sqref="C12:W377">
    <cfRule type="expression" dxfId="83" priority="5">
      <formula>$C12&lt;&gt;""</formula>
    </cfRule>
  </conditionalFormatting>
  <conditionalFormatting sqref="W12:W377">
    <cfRule type="expression" dxfId="80" priority="4">
      <formula>ISNUMBER(W12)</formula>
    </cfRule>
  </conditionalFormatting>
  <pageMargins left="0.75" right="0.75" top="1" bottom="1" header="0.511811023622047" footer="0.511811023622047"/>
  <pageSetup paperSize="9" orientation="portrait" horizontalDpi="300" verticalDpi="300"/>
  <drawing r:id="rId1"/>
  <extLst>
    <ext xmlns:x14="http://schemas.microsoft.com/office/spreadsheetml/2009/9/main" uri="{78C0D931-6437-407d-A8EE-F0AAD7539E65}">
      <x14:conditionalFormattings>
        <x14:conditionalFormatting xmlns:xm="http://schemas.microsoft.com/office/excel/2006/main">
          <x14:cfRule type="expression" priority="2" id="{00000000-000E-0000-0100-000002000000}">
            <xm:f>AND(ISNUMBER(W12),ABS(W12-1)&gt;Overview!$G$7)</xm:f>
            <x14:dxf>
              <font>
                <b/>
                <color rgb="FFFFFFFF"/>
              </font>
              <fill>
                <patternFill>
                  <bgColor rgb="FFEE6C4D"/>
                </patternFill>
              </fill>
            </x14:dxf>
          </x14:cfRule>
          <x14:cfRule type="expression" priority="3" id="{00000000-000E-0000-0100-000003000000}">
            <xm:f>AND(ISNUMBER(W12),ABS(W12-1)&gt;Overview!$G$6)</xm:f>
            <x14:dxf>
              <font>
                <b/>
                <color rgb="FFA8401F"/>
              </font>
              <fill>
                <patternFill>
                  <bgColor rgb="FFFBE3DB"/>
                </patternFill>
              </fill>
            </x14:dxf>
          </x14:cfRule>
          <xm:sqref>W12:W377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Q61"/>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Meta</v>
      </c>
      <c r="N2" s="14"/>
      <c r="O2" s="14"/>
      <c r="P2" s="14"/>
      <c r="Q2" s="14"/>
    </row>
    <row r="3" spans="3:17" x14ac:dyDescent="0.35">
      <c r="M3" s="14"/>
      <c r="N3" s="14"/>
      <c r="O3" s="14"/>
      <c r="P3" s="14"/>
      <c r="Q3" s="14"/>
    </row>
    <row r="6" spans="3:17" x14ac:dyDescent="0.35">
      <c r="C6" s="15" t="s">
        <v>71</v>
      </c>
      <c r="D6" s="49" t="s">
        <v>37</v>
      </c>
      <c r="E6" s="15" t="s">
        <v>72</v>
      </c>
      <c r="F6" s="50">
        <f>COUNTA($C$14:$C$10013)</f>
        <v>48</v>
      </c>
      <c r="H6" s="15" t="s">
        <v>73</v>
      </c>
      <c r="I6" s="3">
        <f ca="1">IFERROR(IF(INDEX(Overview!$H$18:$H$33,MATCH($D$6,Overview!$C$18:$C$33,0))="","",INDEX(Overview!$H$18:$H$33,MATCH($D$6,Overview!$C$18:$C$33,0))),"")</f>
        <v>39494.85</v>
      </c>
      <c r="J6" s="3"/>
    </row>
    <row r="7" spans="3:17" x14ac:dyDescent="0.35">
      <c r="C7" s="15" t="s">
        <v>26</v>
      </c>
      <c r="D7" s="18">
        <f>IFERROR(IF(INDEX(Overview!$D$18:$D$33,MATCH($D$6,Overview!$C$18:$C$33,0))="","",INDEX(Overview!$D$18:$D$33,MATCH($D$6,Overview!$C$18:$C$33,0))),"")</f>
        <v>46266</v>
      </c>
      <c r="E7" s="15" t="s">
        <v>74</v>
      </c>
      <c r="F7" s="51">
        <f>SUM($F$14:$F$10013)</f>
        <v>39494.85</v>
      </c>
      <c r="H7" s="15" t="s">
        <v>31</v>
      </c>
      <c r="I7" s="2">
        <f ca="1">IFERROR(IF(INDEX(Overview!$K$18:$K$33,MATCH($D$6,Overview!$C$18:$C$33,0))="","",INDEX(Overview!$K$18:$K$33,MATCH($D$6,Overview!$C$18:$C$33,0))),"")</f>
        <v>0.98737124999999992</v>
      </c>
      <c r="J7" s="2"/>
    </row>
    <row r="8" spans="3:17" x14ac:dyDescent="0.35">
      <c r="C8" s="15" t="s">
        <v>27</v>
      </c>
      <c r="D8" s="18">
        <f>IFERROR(IF(INDEX(Overview!$E$18:$E$33,MATCH($D$6,Overview!$C$18:$C$33,0))="","",INDEX(Overview!$E$18:$E$33,MATCH($D$6,Overview!$C$18:$C$33,0))),"")</f>
        <v>46295</v>
      </c>
      <c r="E8" s="15" t="s">
        <v>75</v>
      </c>
      <c r="F8" s="50">
        <f>(COUNTA($C$14:$C$10013)-COUNT($C$14:$C$10013))+(COUNTA($F$14:$F$10013)-COUNT($F$14:$F$10013))</f>
        <v>0</v>
      </c>
      <c r="H8" s="15" t="s">
        <v>22</v>
      </c>
      <c r="I8" s="1" t="str">
        <f ca="1">IFERROR(IF(INDEX(Overview!$L$18:$L$33,MATCH($D$6,Overview!$C$18:$C$33,0))="","",INDEX(Overview!$L$18:$L$33,MATCH($D$6,Overview!$C$18:$C$33,0))),"")</f>
        <v>On pace</v>
      </c>
      <c r="J8" s="1"/>
    </row>
    <row r="9" spans="3:17" x14ac:dyDescent="0.35">
      <c r="C9" s="15" t="s">
        <v>76</v>
      </c>
      <c r="D9" s="52">
        <f>IFERROR(IF(INDEX(Overview!$F$18:$F$33,MATCH($D$6,Overview!$C$18:$C$33,0))="","",INDEX(Overview!$F$18:$F$33,MATCH($D$6,Overview!$C$18:$C$33,0))),"")</f>
        <v>50000</v>
      </c>
      <c r="E9" s="15" t="s">
        <v>77</v>
      </c>
      <c r="F9" s="50">
        <f>IF(OR($D$7="",$D$8=""),"",COUNT($C$14:$C$10013)-COUNTIFS($C$14:$C$10013,"&gt;="&amp;$D$7,$C$14:$C$10013,"&lt;="&amp;$D$8))</f>
        <v>0</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82</v>
      </c>
      <c r="E13" s="20" t="s">
        <v>83</v>
      </c>
      <c r="F13" s="20" t="s">
        <v>84</v>
      </c>
      <c r="H13" s="20" t="s">
        <v>85</v>
      </c>
      <c r="I13" s="20" t="s">
        <v>26</v>
      </c>
      <c r="J13" s="20" t="s">
        <v>27</v>
      </c>
      <c r="K13" s="20" t="s">
        <v>76</v>
      </c>
      <c r="L13" s="20" t="s">
        <v>29</v>
      </c>
      <c r="M13" s="20" t="s">
        <v>15</v>
      </c>
      <c r="N13" s="20" t="s">
        <v>31</v>
      </c>
      <c r="O13" s="20" t="s">
        <v>22</v>
      </c>
      <c r="P13" s="20" t="s">
        <v>20</v>
      </c>
      <c r="Q13" s="20" t="s">
        <v>35</v>
      </c>
    </row>
    <row r="14" spans="3:17" x14ac:dyDescent="0.35">
      <c r="C14" s="53">
        <v>46266</v>
      </c>
      <c r="D14" s="47" t="s">
        <v>5</v>
      </c>
      <c r="E14" s="47" t="s">
        <v>86</v>
      </c>
      <c r="F14" s="48">
        <v>948.12</v>
      </c>
      <c r="H14" s="54" t="s">
        <v>86</v>
      </c>
      <c r="I14" s="23">
        <f t="shared" ref="I14:I38" si="0">IF(OR(H14="",$D$7=""),"",$D$7)</f>
        <v>46266</v>
      </c>
      <c r="J14" s="23">
        <f t="shared" ref="J14:J38" si="1">IF(OR(H14="",$D$8=""),"",$D$8)</f>
        <v>46295</v>
      </c>
      <c r="K14" s="24">
        <v>30000</v>
      </c>
      <c r="L14" s="25">
        <f t="shared" ref="L14:L38" si="2">IF(OR(H14="",I14="",J14=""),"",SUMIFS($F$14:$F$10013,$E$14:$E$10013,H14,$C$14:$C$10013,"&gt;="&amp;I14,$C$14:$C$10013,"&lt;="&amp;J14))</f>
        <v>23727.119999999999</v>
      </c>
      <c r="M14" s="18">
        <f t="shared" ref="M14:M38" si="3">IF(L14="","",IF(COUNTIFS($E$14:$E$10013,H14,$C$14:$C$10013,"&gt;="&amp;I14,$C$14:$C$10013,"&lt;="&amp;J14)=0,"",_xlfn.MAXIFS($C$14:$C$10013,$E$14:$E$10013,H14,$C$14:$C$10013,"&gt;="&amp;I14,$C$14:$C$10013,"&lt;="&amp;J14)))</f>
        <v>46289</v>
      </c>
      <c r="N14" s="26">
        <f t="shared" ref="N14:N38" si="4">IF(OR(M14="",K14="",K14=0),"",(L14/K14)/((M14-I14+1)/(J14-I14+1)))</f>
        <v>0.9886299999999999</v>
      </c>
      <c r="O14" s="27" t="str">
        <f>IF(N14="","",IF(N14-1&gt;Overview!$G$7,"Overpacing",IF(1-N14&gt;Overview!$G$7,"Underpacing",IF(N14-1&gt;Overview!$G$6,"Slightly over",IF(1-N14&gt;Overview!$G$6,"Slightly under","On pace")))))</f>
        <v>On pace</v>
      </c>
      <c r="P14" s="25">
        <f t="shared" ref="P14:P38" si="5">IF(OR(L14="",K14=""),"",K14-L14)</f>
        <v>6272.880000000001</v>
      </c>
      <c r="Q14" s="25">
        <f t="shared" ref="Q14:Q38" si="6">IF(P14="","",IF(M14="",MAX(0,P14)/(J14-I14+1),IF(J14-M14&lt;=0,"",MAX(0,P14)/(J14-M14))))</f>
        <v>1045.4800000000002</v>
      </c>
    </row>
    <row r="15" spans="3:17" x14ac:dyDescent="0.35">
      <c r="C15" s="53">
        <v>46266</v>
      </c>
      <c r="D15" s="47" t="s">
        <v>5</v>
      </c>
      <c r="E15" s="47" t="s">
        <v>87</v>
      </c>
      <c r="F15" s="48">
        <v>585.03</v>
      </c>
      <c r="H15" s="54" t="s">
        <v>87</v>
      </c>
      <c r="I15" s="23">
        <f t="shared" si="0"/>
        <v>46266</v>
      </c>
      <c r="J15" s="23">
        <f t="shared" si="1"/>
        <v>46295</v>
      </c>
      <c r="K15" s="24">
        <v>20000</v>
      </c>
      <c r="L15" s="25">
        <f t="shared" si="2"/>
        <v>15767.73</v>
      </c>
      <c r="M15" s="18">
        <f t="shared" si="3"/>
        <v>46289</v>
      </c>
      <c r="N15" s="26">
        <f t="shared" si="4"/>
        <v>0.9854831249999999</v>
      </c>
      <c r="O15" s="27" t="str">
        <f>IF(N15="","",IF(N15-1&gt;Overview!$G$7,"Overpacing",IF(1-N15&gt;Overview!$G$7,"Underpacing",IF(N15-1&gt;Overview!$G$6,"Slightly over",IF(1-N15&gt;Overview!$G$6,"Slightly under","On pace")))))</f>
        <v>On pace</v>
      </c>
      <c r="P15" s="25">
        <f t="shared" si="5"/>
        <v>4232.2700000000004</v>
      </c>
      <c r="Q15" s="25">
        <f t="shared" si="6"/>
        <v>705.37833333333344</v>
      </c>
    </row>
    <row r="16" spans="3:17" x14ac:dyDescent="0.35">
      <c r="C16" s="53">
        <v>46267</v>
      </c>
      <c r="D16" s="47" t="s">
        <v>5</v>
      </c>
      <c r="E16" s="47" t="s">
        <v>86</v>
      </c>
      <c r="F16" s="48">
        <v>1081.58</v>
      </c>
      <c r="H16" s="54"/>
      <c r="I16" s="23" t="str">
        <f t="shared" si="0"/>
        <v/>
      </c>
      <c r="J16" s="23" t="str">
        <f t="shared" si="1"/>
        <v/>
      </c>
      <c r="K16" s="24"/>
      <c r="L16" s="25" t="str">
        <f t="shared" si="2"/>
        <v/>
      </c>
      <c r="M16" s="18" t="str">
        <f t="shared" si="3"/>
        <v/>
      </c>
      <c r="N16" s="26" t="str">
        <f t="shared" si="4"/>
        <v/>
      </c>
      <c r="O16" s="27" t="str">
        <f>IF(N16="","",IF(N16-1&gt;Overview!$G$7,"Overpacing",IF(1-N16&gt;Overview!$G$7,"Underpacing",IF(N16-1&gt;Overview!$G$6,"Slightly over",IF(1-N16&gt;Overview!$G$6,"Slightly under","On pace")))))</f>
        <v/>
      </c>
      <c r="P16" s="25" t="str">
        <f t="shared" si="5"/>
        <v/>
      </c>
      <c r="Q16" s="25" t="str">
        <f t="shared" si="6"/>
        <v/>
      </c>
    </row>
    <row r="17" spans="3:17" x14ac:dyDescent="0.35">
      <c r="C17" s="53">
        <v>46267</v>
      </c>
      <c r="D17" s="47" t="s">
        <v>5</v>
      </c>
      <c r="E17" s="47" t="s">
        <v>87</v>
      </c>
      <c r="F17" s="48">
        <v>563.70000000000005</v>
      </c>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3:17" x14ac:dyDescent="0.35">
      <c r="C18" s="53">
        <v>46268</v>
      </c>
      <c r="D18" s="47" t="s">
        <v>5</v>
      </c>
      <c r="E18" s="47" t="s">
        <v>86</v>
      </c>
      <c r="F18" s="48">
        <v>1034.6400000000001</v>
      </c>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3:17" x14ac:dyDescent="0.35">
      <c r="C19" s="53">
        <v>46268</v>
      </c>
      <c r="D19" s="47" t="s">
        <v>5</v>
      </c>
      <c r="E19" s="47" t="s">
        <v>87</v>
      </c>
      <c r="F19" s="48">
        <v>643.47</v>
      </c>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3:17" x14ac:dyDescent="0.35">
      <c r="C20" s="53">
        <v>46269</v>
      </c>
      <c r="D20" s="47" t="s">
        <v>5</v>
      </c>
      <c r="E20" s="47" t="s">
        <v>86</v>
      </c>
      <c r="F20" s="48">
        <v>839.66</v>
      </c>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3:17" x14ac:dyDescent="0.35">
      <c r="C21" s="53">
        <v>46269</v>
      </c>
      <c r="D21" s="47" t="s">
        <v>5</v>
      </c>
      <c r="E21" s="47" t="s">
        <v>87</v>
      </c>
      <c r="F21" s="48">
        <v>682.02</v>
      </c>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3:17" x14ac:dyDescent="0.35">
      <c r="C22" s="53">
        <v>46270</v>
      </c>
      <c r="D22" s="47" t="s">
        <v>5</v>
      </c>
      <c r="E22" s="47" t="s">
        <v>86</v>
      </c>
      <c r="F22" s="48">
        <v>831.3</v>
      </c>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3:17" x14ac:dyDescent="0.35">
      <c r="C23" s="53">
        <v>46270</v>
      </c>
      <c r="D23" s="47" t="s">
        <v>5</v>
      </c>
      <c r="E23" s="47" t="s">
        <v>87</v>
      </c>
      <c r="F23" s="48">
        <v>661.95</v>
      </c>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3:17" x14ac:dyDescent="0.35">
      <c r="C24" s="53">
        <v>46271</v>
      </c>
      <c r="D24" s="47" t="s">
        <v>5</v>
      </c>
      <c r="E24" s="47" t="s">
        <v>86</v>
      </c>
      <c r="F24" s="48">
        <v>844.5</v>
      </c>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3:17" x14ac:dyDescent="0.35">
      <c r="C25" s="53">
        <v>46271</v>
      </c>
      <c r="D25" s="47" t="s">
        <v>5</v>
      </c>
      <c r="E25" s="47" t="s">
        <v>87</v>
      </c>
      <c r="F25" s="48">
        <v>568.66999999999996</v>
      </c>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3:17" x14ac:dyDescent="0.35">
      <c r="C26" s="53">
        <v>46272</v>
      </c>
      <c r="D26" s="47" t="s">
        <v>5</v>
      </c>
      <c r="E26" s="47" t="s">
        <v>86</v>
      </c>
      <c r="F26" s="48">
        <v>989.2</v>
      </c>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3:17" x14ac:dyDescent="0.35">
      <c r="C27" s="53">
        <v>46272</v>
      </c>
      <c r="D27" s="47" t="s">
        <v>5</v>
      </c>
      <c r="E27" s="47" t="s">
        <v>87</v>
      </c>
      <c r="F27" s="48">
        <v>768.9</v>
      </c>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3:17" x14ac:dyDescent="0.35">
      <c r="C28" s="53">
        <v>46273</v>
      </c>
      <c r="D28" s="47" t="s">
        <v>5</v>
      </c>
      <c r="E28" s="47" t="s">
        <v>86</v>
      </c>
      <c r="F28" s="48">
        <v>866.51</v>
      </c>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3:17" x14ac:dyDescent="0.35">
      <c r="C29" s="53">
        <v>46273</v>
      </c>
      <c r="D29" s="47" t="s">
        <v>5</v>
      </c>
      <c r="E29" s="47" t="s">
        <v>87</v>
      </c>
      <c r="F29" s="48">
        <v>604.72</v>
      </c>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3:17" x14ac:dyDescent="0.35">
      <c r="C30" s="53">
        <v>46274</v>
      </c>
      <c r="D30" s="47" t="s">
        <v>5</v>
      </c>
      <c r="E30" s="47" t="s">
        <v>86</v>
      </c>
      <c r="F30" s="48">
        <v>1071.99</v>
      </c>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3:17" x14ac:dyDescent="0.35">
      <c r="C31" s="53">
        <v>46274</v>
      </c>
      <c r="D31" s="47" t="s">
        <v>5</v>
      </c>
      <c r="E31" s="47" t="s">
        <v>87</v>
      </c>
      <c r="F31" s="48">
        <v>801.78</v>
      </c>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3:17" x14ac:dyDescent="0.35">
      <c r="C32" s="53">
        <v>46275</v>
      </c>
      <c r="D32" s="47" t="s">
        <v>5</v>
      </c>
      <c r="E32" s="47" t="s">
        <v>86</v>
      </c>
      <c r="F32" s="48">
        <v>1051.46</v>
      </c>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3:17" x14ac:dyDescent="0.35">
      <c r="C33" s="53">
        <v>46275</v>
      </c>
      <c r="D33" s="47" t="s">
        <v>5</v>
      </c>
      <c r="E33" s="47" t="s">
        <v>87</v>
      </c>
      <c r="F33" s="48">
        <v>651.9</v>
      </c>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3:17" x14ac:dyDescent="0.35">
      <c r="C34" s="53">
        <v>46276</v>
      </c>
      <c r="D34" s="47" t="s">
        <v>5</v>
      </c>
      <c r="E34" s="47" t="s">
        <v>86</v>
      </c>
      <c r="F34" s="48">
        <v>1214.31</v>
      </c>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3:17" x14ac:dyDescent="0.35">
      <c r="C35" s="53">
        <v>46276</v>
      </c>
      <c r="D35" s="47" t="s">
        <v>5</v>
      </c>
      <c r="E35" s="47" t="s">
        <v>87</v>
      </c>
      <c r="F35" s="48">
        <v>556.66999999999996</v>
      </c>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3:17" x14ac:dyDescent="0.35">
      <c r="C36" s="53">
        <v>46277</v>
      </c>
      <c r="D36" s="47" t="s">
        <v>5</v>
      </c>
      <c r="E36" s="47" t="s">
        <v>86</v>
      </c>
      <c r="F36" s="48">
        <v>1166.26</v>
      </c>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3:17" x14ac:dyDescent="0.35">
      <c r="C37" s="53">
        <v>46277</v>
      </c>
      <c r="D37" s="47" t="s">
        <v>5</v>
      </c>
      <c r="E37" s="47" t="s">
        <v>87</v>
      </c>
      <c r="F37" s="48">
        <v>622.77</v>
      </c>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3:17" x14ac:dyDescent="0.35">
      <c r="C38" s="53">
        <v>46278</v>
      </c>
      <c r="D38" s="47" t="s">
        <v>5</v>
      </c>
      <c r="E38" s="47" t="s">
        <v>86</v>
      </c>
      <c r="F38" s="48">
        <v>874.86</v>
      </c>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row r="39" spans="3:17" x14ac:dyDescent="0.35">
      <c r="C39" s="53">
        <v>46278</v>
      </c>
      <c r="D39" s="47" t="s">
        <v>5</v>
      </c>
      <c r="E39" s="47" t="s">
        <v>87</v>
      </c>
      <c r="F39" s="48">
        <v>576.04</v>
      </c>
    </row>
    <row r="40" spans="3:17" x14ac:dyDescent="0.35">
      <c r="C40" s="53">
        <v>46279</v>
      </c>
      <c r="D40" s="47" t="s">
        <v>5</v>
      </c>
      <c r="E40" s="47" t="s">
        <v>86</v>
      </c>
      <c r="F40" s="48">
        <v>941.86</v>
      </c>
    </row>
    <row r="41" spans="3:17" x14ac:dyDescent="0.35">
      <c r="C41" s="53">
        <v>46279</v>
      </c>
      <c r="D41" s="47" t="s">
        <v>5</v>
      </c>
      <c r="E41" s="47" t="s">
        <v>87</v>
      </c>
      <c r="F41" s="48">
        <v>765.99</v>
      </c>
    </row>
    <row r="42" spans="3:17" x14ac:dyDescent="0.35">
      <c r="C42" s="53">
        <v>46280</v>
      </c>
      <c r="D42" s="47" t="s">
        <v>5</v>
      </c>
      <c r="E42" s="47" t="s">
        <v>86</v>
      </c>
      <c r="F42" s="48">
        <v>889.74</v>
      </c>
    </row>
    <row r="43" spans="3:17" x14ac:dyDescent="0.35">
      <c r="C43" s="53">
        <v>46280</v>
      </c>
      <c r="D43" s="47" t="s">
        <v>5</v>
      </c>
      <c r="E43" s="47" t="s">
        <v>87</v>
      </c>
      <c r="F43" s="48">
        <v>702.2</v>
      </c>
    </row>
    <row r="44" spans="3:17" x14ac:dyDescent="0.35">
      <c r="C44" s="53">
        <v>46281</v>
      </c>
      <c r="D44" s="47" t="s">
        <v>5</v>
      </c>
      <c r="E44" s="47" t="s">
        <v>86</v>
      </c>
      <c r="F44" s="48">
        <v>1076.68</v>
      </c>
    </row>
    <row r="45" spans="3:17" x14ac:dyDescent="0.35">
      <c r="C45" s="53">
        <v>46281</v>
      </c>
      <c r="D45" s="47" t="s">
        <v>5</v>
      </c>
      <c r="E45" s="47" t="s">
        <v>87</v>
      </c>
      <c r="F45" s="48">
        <v>645.29</v>
      </c>
    </row>
    <row r="46" spans="3:17" x14ac:dyDescent="0.35">
      <c r="C46" s="53">
        <v>46282</v>
      </c>
      <c r="D46" s="47" t="s">
        <v>5</v>
      </c>
      <c r="E46" s="47" t="s">
        <v>86</v>
      </c>
      <c r="F46" s="48">
        <v>1039.48</v>
      </c>
    </row>
    <row r="47" spans="3:17" x14ac:dyDescent="0.35">
      <c r="C47" s="53">
        <v>46282</v>
      </c>
      <c r="D47" s="47" t="s">
        <v>5</v>
      </c>
      <c r="E47" s="47" t="s">
        <v>87</v>
      </c>
      <c r="F47" s="48">
        <v>561.08000000000004</v>
      </c>
    </row>
    <row r="48" spans="3:17" x14ac:dyDescent="0.35">
      <c r="C48" s="53">
        <v>46283</v>
      </c>
      <c r="D48" s="47" t="s">
        <v>5</v>
      </c>
      <c r="E48" s="47" t="s">
        <v>86</v>
      </c>
      <c r="F48" s="48">
        <v>840.32</v>
      </c>
    </row>
    <row r="49" spans="3:6" x14ac:dyDescent="0.35">
      <c r="C49" s="53">
        <v>46283</v>
      </c>
      <c r="D49" s="47" t="s">
        <v>5</v>
      </c>
      <c r="E49" s="47" t="s">
        <v>87</v>
      </c>
      <c r="F49" s="48">
        <v>600.02</v>
      </c>
    </row>
    <row r="50" spans="3:6" x14ac:dyDescent="0.35">
      <c r="C50" s="53">
        <v>46284</v>
      </c>
      <c r="D50" s="47" t="s">
        <v>5</v>
      </c>
      <c r="E50" s="47" t="s">
        <v>86</v>
      </c>
      <c r="F50" s="48">
        <v>1093.5999999999999</v>
      </c>
    </row>
    <row r="51" spans="3:6" x14ac:dyDescent="0.35">
      <c r="C51" s="53">
        <v>46284</v>
      </c>
      <c r="D51" s="47" t="s">
        <v>5</v>
      </c>
      <c r="E51" s="47" t="s">
        <v>87</v>
      </c>
      <c r="F51" s="48">
        <v>660.31</v>
      </c>
    </row>
    <row r="52" spans="3:6" x14ac:dyDescent="0.35">
      <c r="C52" s="53">
        <v>46285</v>
      </c>
      <c r="D52" s="47" t="s">
        <v>5</v>
      </c>
      <c r="E52" s="47" t="s">
        <v>86</v>
      </c>
      <c r="F52" s="48">
        <v>944.17</v>
      </c>
    </row>
    <row r="53" spans="3:6" x14ac:dyDescent="0.35">
      <c r="C53" s="53">
        <v>46285</v>
      </c>
      <c r="D53" s="47" t="s">
        <v>5</v>
      </c>
      <c r="E53" s="47" t="s">
        <v>87</v>
      </c>
      <c r="F53" s="48">
        <v>703.27</v>
      </c>
    </row>
    <row r="54" spans="3:6" x14ac:dyDescent="0.35">
      <c r="C54" s="53">
        <v>46286</v>
      </c>
      <c r="D54" s="47" t="s">
        <v>5</v>
      </c>
      <c r="E54" s="47" t="s">
        <v>86</v>
      </c>
      <c r="F54" s="48">
        <v>1000.9</v>
      </c>
    </row>
    <row r="55" spans="3:6" x14ac:dyDescent="0.35">
      <c r="C55" s="53">
        <v>46286</v>
      </c>
      <c r="D55" s="47" t="s">
        <v>5</v>
      </c>
      <c r="E55" s="47" t="s">
        <v>87</v>
      </c>
      <c r="F55" s="48">
        <v>625.54</v>
      </c>
    </row>
    <row r="56" spans="3:6" x14ac:dyDescent="0.35">
      <c r="C56" s="53">
        <v>46287</v>
      </c>
      <c r="D56" s="47" t="s">
        <v>5</v>
      </c>
      <c r="E56" s="47" t="s">
        <v>86</v>
      </c>
      <c r="F56" s="48">
        <v>1140.1099999999999</v>
      </c>
    </row>
    <row r="57" spans="3:6" x14ac:dyDescent="0.35">
      <c r="C57" s="53">
        <v>46287</v>
      </c>
      <c r="D57" s="47" t="s">
        <v>5</v>
      </c>
      <c r="E57" s="47" t="s">
        <v>87</v>
      </c>
      <c r="F57" s="48">
        <v>734.13</v>
      </c>
    </row>
    <row r="58" spans="3:6" x14ac:dyDescent="0.35">
      <c r="C58" s="53">
        <v>46288</v>
      </c>
      <c r="D58" s="47" t="s">
        <v>5</v>
      </c>
      <c r="E58" s="47" t="s">
        <v>86</v>
      </c>
      <c r="F58" s="48">
        <v>915.59</v>
      </c>
    </row>
    <row r="59" spans="3:6" x14ac:dyDescent="0.35">
      <c r="C59" s="53">
        <v>46288</v>
      </c>
      <c r="D59" s="47" t="s">
        <v>5</v>
      </c>
      <c r="E59" s="47" t="s">
        <v>87</v>
      </c>
      <c r="F59" s="48">
        <v>700.24</v>
      </c>
    </row>
    <row r="60" spans="3:6" x14ac:dyDescent="0.35">
      <c r="C60" s="53">
        <v>46289</v>
      </c>
      <c r="D60" s="47" t="s">
        <v>5</v>
      </c>
      <c r="E60" s="47" t="s">
        <v>86</v>
      </c>
      <c r="F60" s="48">
        <v>1030.28</v>
      </c>
    </row>
    <row r="61" spans="3:6" x14ac:dyDescent="0.35">
      <c r="C61" s="53">
        <v>46289</v>
      </c>
      <c r="D61" s="47" t="s">
        <v>5</v>
      </c>
      <c r="E61" s="47" t="s">
        <v>87</v>
      </c>
      <c r="F61" s="48">
        <v>782.04</v>
      </c>
    </row>
  </sheetData>
  <mergeCells count="5">
    <mergeCell ref="M2:Q3"/>
    <mergeCell ref="I6:J6"/>
    <mergeCell ref="I7:J7"/>
    <mergeCell ref="I8:J8"/>
    <mergeCell ref="H9:Q9"/>
  </mergeCells>
  <conditionalFormatting sqref="C14:C10013">
    <cfRule type="expression" dxfId="79" priority="7">
      <formula>AND(C14&lt;&gt;"",NOT(ISNUMBER(C14)))</formula>
    </cfRule>
  </conditionalFormatting>
  <conditionalFormatting sqref="C14:F10013">
    <cfRule type="expression" dxfId="78" priority="6">
      <formula>OR(ROW()&lt;54,COUNTA($C14:$F14)&gt;0)</formula>
    </cfRule>
  </conditionalFormatting>
  <conditionalFormatting sqref="F8">
    <cfRule type="expression" dxfId="77" priority="5">
      <formula>$F$8&gt;0</formula>
    </cfRule>
  </conditionalFormatting>
  <conditionalFormatting sqref="F14:F10013">
    <cfRule type="expression" dxfId="76" priority="8">
      <formula>AND(F14&lt;&gt;"",NOT(ISNUMBER(F14)))</formula>
    </cfRule>
  </conditionalFormatting>
  <conditionalFormatting sqref="I7:J8">
    <cfRule type="expression" dxfId="75" priority="2">
      <formula>OR($I$8="Overpacing",$I$8="Underpacing",$I$8="Tab not found")</formula>
    </cfRule>
    <cfRule type="expression" dxfId="74" priority="3">
      <formula>OR($I$8="Slightly over",$I$8="Slightly under")</formula>
    </cfRule>
    <cfRule type="expression" dxfId="73" priority="4">
      <formula>$I$8="On pace"</formula>
    </cfRule>
  </conditionalFormatting>
  <conditionalFormatting sqref="N14:O38">
    <cfRule type="expression" dxfId="72" priority="9">
      <formula>OR($O14="Overpacing",$O14="Underpacing",$O14="Tab not found")</formula>
    </cfRule>
    <cfRule type="expression" dxfId="71" priority="10">
      <formula>OR($O14="Slightly over",$O14="Slightly under")</formula>
    </cfRule>
    <cfRule type="expression" dxfId="70" priority="11">
      <formula>$O14="On pace"</formula>
    </cfRule>
  </conditionalFormatting>
  <dataValidations count="3">
    <dataValidation type="custom" showInputMessage="1" promptTitle="Channel name" prompt="Must match this tab's name and the name in the Overview Channel column." sqref="D6" xr:uid="{00000000-0002-0000-0200-000000000000}">
      <formula1>1</formula1>
      <formula2>0</formula2>
    </dataValidation>
    <dataValidation type="date" operator="greaterThan" showErrorMessage="1" error="Enter a date" sqref="I14:J38" xr:uid="{00000000-0002-0000-0200-000001000000}">
      <formula1>1</formula1>
      <formula2>0</formula2>
    </dataValidation>
    <dataValidation type="decimal" operator="greaterThanOrEqual" showErrorMessage="1" error="Enter a number" sqref="K14:K38" xr:uid="{00000000-0002-0000-02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Q61"/>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TikTok</v>
      </c>
      <c r="N2" s="14"/>
      <c r="O2" s="14"/>
      <c r="P2" s="14"/>
      <c r="Q2" s="14"/>
    </row>
    <row r="3" spans="3:17" x14ac:dyDescent="0.35">
      <c r="M3" s="14"/>
      <c r="N3" s="14"/>
      <c r="O3" s="14"/>
      <c r="P3" s="14"/>
      <c r="Q3" s="14"/>
    </row>
    <row r="6" spans="3:17" x14ac:dyDescent="0.35">
      <c r="C6" s="15" t="s">
        <v>71</v>
      </c>
      <c r="D6" s="49" t="s">
        <v>39</v>
      </c>
      <c r="E6" s="15" t="s">
        <v>72</v>
      </c>
      <c r="F6" s="50">
        <f>COUNTA($C$14:$C$10013)</f>
        <v>48</v>
      </c>
      <c r="H6" s="15" t="s">
        <v>73</v>
      </c>
      <c r="I6" s="3">
        <f ca="1">IFERROR(IF(INDEX(Overview!$H$18:$H$33,MATCH($D$6,Overview!$C$18:$C$33,0))="","",INDEX(Overview!$H$18:$H$33,MATCH($D$6,Overview!$C$18:$C$33,0))),"")</f>
        <v>20554.219999999998</v>
      </c>
      <c r="J6" s="3"/>
    </row>
    <row r="7" spans="3:17" x14ac:dyDescent="0.35">
      <c r="C7" s="15" t="s">
        <v>26</v>
      </c>
      <c r="D7" s="18">
        <f>IFERROR(IF(INDEX(Overview!$D$18:$D$33,MATCH($D$6,Overview!$C$18:$C$33,0))="","",INDEX(Overview!$D$18:$D$33,MATCH($D$6,Overview!$C$18:$C$33,0))),"")</f>
        <v>46266</v>
      </c>
      <c r="E7" s="15" t="s">
        <v>74</v>
      </c>
      <c r="F7" s="51">
        <f>SUM($F$14:$F$10013)</f>
        <v>20554.219999999998</v>
      </c>
      <c r="H7" s="15" t="s">
        <v>31</v>
      </c>
      <c r="I7" s="2">
        <f ca="1">IFERROR(IF(INDEX(Overview!$K$18:$K$33,MATCH($D$6,Overview!$C$18:$C$33,0))="","",INDEX(Overview!$K$18:$K$33,MATCH($D$6,Overview!$C$18:$C$33,0))),"")</f>
        <v>0.85642583333333322</v>
      </c>
      <c r="J7" s="2"/>
    </row>
    <row r="8" spans="3:17" x14ac:dyDescent="0.35">
      <c r="C8" s="15" t="s">
        <v>27</v>
      </c>
      <c r="D8" s="18">
        <f>IFERROR(IF(INDEX(Overview!$E$18:$E$33,MATCH($D$6,Overview!$C$18:$C$33,0))="","",INDEX(Overview!$E$18:$E$33,MATCH($D$6,Overview!$C$18:$C$33,0))),"")</f>
        <v>46295</v>
      </c>
      <c r="E8" s="15" t="s">
        <v>75</v>
      </c>
      <c r="F8" s="50">
        <f>(COUNTA($C$14:$C$10013)-COUNT($C$14:$C$10013))+(COUNTA($F$14:$F$10013)-COUNT($F$14:$F$10013))</f>
        <v>0</v>
      </c>
      <c r="H8" s="15" t="s">
        <v>22</v>
      </c>
      <c r="I8" s="1" t="str">
        <f ca="1">IFERROR(IF(INDEX(Overview!$L$18:$L$33,MATCH($D$6,Overview!$C$18:$C$33,0))="","",INDEX(Overview!$L$18:$L$33,MATCH($D$6,Overview!$C$18:$C$33,0))),"")</f>
        <v>Slightly under</v>
      </c>
      <c r="J8" s="1"/>
    </row>
    <row r="9" spans="3:17" x14ac:dyDescent="0.35">
      <c r="C9" s="15" t="s">
        <v>76</v>
      </c>
      <c r="D9" s="52">
        <f>IFERROR(IF(INDEX(Overview!$F$18:$F$33,MATCH($D$6,Overview!$C$18:$C$33,0))="","",INDEX(Overview!$F$18:$F$33,MATCH($D$6,Overview!$C$18:$C$33,0))),"")</f>
        <v>30000</v>
      </c>
      <c r="E9" s="15" t="s">
        <v>77</v>
      </c>
      <c r="F9" s="50">
        <f>IF(OR($D$7="",$D$8=""),"",COUNT($C$14:$C$10013)-COUNTIFS($C$14:$C$10013,"&gt;="&amp;$D$7,$C$14:$C$10013,"&lt;="&amp;$D$8))</f>
        <v>0</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82</v>
      </c>
      <c r="E13" s="20" t="s">
        <v>88</v>
      </c>
      <c r="F13" s="20" t="s">
        <v>84</v>
      </c>
      <c r="H13" s="20" t="s">
        <v>85</v>
      </c>
      <c r="I13" s="20" t="s">
        <v>26</v>
      </c>
      <c r="J13" s="20" t="s">
        <v>27</v>
      </c>
      <c r="K13" s="20" t="s">
        <v>76</v>
      </c>
      <c r="L13" s="20" t="s">
        <v>29</v>
      </c>
      <c r="M13" s="20" t="s">
        <v>15</v>
      </c>
      <c r="N13" s="20" t="s">
        <v>31</v>
      </c>
      <c r="O13" s="20" t="s">
        <v>22</v>
      </c>
      <c r="P13" s="20" t="s">
        <v>20</v>
      </c>
      <c r="Q13" s="20" t="s">
        <v>35</v>
      </c>
    </row>
    <row r="14" spans="3:17" x14ac:dyDescent="0.35">
      <c r="C14" s="53">
        <v>46266</v>
      </c>
      <c r="D14" s="47" t="s">
        <v>5</v>
      </c>
      <c r="E14" s="47" t="s">
        <v>89</v>
      </c>
      <c r="F14" s="48">
        <v>657.25</v>
      </c>
      <c r="H14" s="54" t="s">
        <v>89</v>
      </c>
      <c r="I14" s="23">
        <f t="shared" ref="I14:I38" si="0">IF(OR(H14="",$D$7=""),"",$D$7)</f>
        <v>46266</v>
      </c>
      <c r="J14" s="23">
        <f t="shared" ref="J14:J38" si="1">IF(OR(H14="",$D$8=""),"",$D$8)</f>
        <v>46295</v>
      </c>
      <c r="K14" s="24">
        <v>21000</v>
      </c>
      <c r="L14" s="25">
        <f t="shared" ref="L14:L38" si="2">IF(OR(H14="",I14="",J14=""),"",SUMIFS($F$14:$F$10013,$E$14:$E$10013,H14,$C$14:$C$10013,"&gt;="&amp;I14,$C$14:$C$10013,"&lt;="&amp;J14))</f>
        <v>14197.899999999998</v>
      </c>
      <c r="M14" s="18">
        <f t="shared" ref="M14:M38" si="3">IF(L14="","",IF(COUNTIFS($E$14:$E$10013,H14,$C$14:$C$10013,"&gt;="&amp;I14,$C$14:$C$10013,"&lt;="&amp;J14)=0,"",_xlfn.MAXIFS($C$14:$C$10013,$E$14:$E$10013,H14,$C$14:$C$10013,"&gt;="&amp;I14,$C$14:$C$10013,"&lt;="&amp;J14)))</f>
        <v>46289</v>
      </c>
      <c r="N14" s="26">
        <f t="shared" ref="N14:N38" si="4">IF(OR(M14="",K14="",K14=0),"",(L14/K14)/((M14-I14+1)/(J14-I14+1)))</f>
        <v>0.84511309523809508</v>
      </c>
      <c r="O14" s="27" t="str">
        <f>IF(N14="","",IF(N14-1&gt;Overview!$G$7,"Overpacing",IF(1-N14&gt;Overview!$G$7,"Underpacing",IF(N14-1&gt;Overview!$G$6,"Slightly over",IF(1-N14&gt;Overview!$G$6,"Slightly under","On pace")))))</f>
        <v>Slightly under</v>
      </c>
      <c r="P14" s="25">
        <f t="shared" ref="P14:P38" si="5">IF(OR(L14="",K14=""),"",K14-L14)</f>
        <v>6802.1000000000022</v>
      </c>
      <c r="Q14" s="25">
        <f t="shared" ref="Q14:Q38" si="6">IF(P14="","",IF(M14="",MAX(0,P14)/(J14-I14+1),IF(J14-M14&lt;=0,"",MAX(0,P14)/(J14-M14))))</f>
        <v>1133.6833333333336</v>
      </c>
    </row>
    <row r="15" spans="3:17" x14ac:dyDescent="0.35">
      <c r="C15" s="53">
        <v>46266</v>
      </c>
      <c r="D15" s="47" t="s">
        <v>5</v>
      </c>
      <c r="E15" s="47" t="s">
        <v>90</v>
      </c>
      <c r="F15" s="48">
        <v>236.12</v>
      </c>
      <c r="H15" s="54" t="s">
        <v>90</v>
      </c>
      <c r="I15" s="23">
        <f t="shared" si="0"/>
        <v>46266</v>
      </c>
      <c r="J15" s="23">
        <f t="shared" si="1"/>
        <v>46295</v>
      </c>
      <c r="K15" s="24">
        <v>9000</v>
      </c>
      <c r="L15" s="25">
        <f t="shared" si="2"/>
        <v>6356.32</v>
      </c>
      <c r="M15" s="18">
        <f t="shared" si="3"/>
        <v>46289</v>
      </c>
      <c r="N15" s="26">
        <f t="shared" si="4"/>
        <v>0.88282222222222217</v>
      </c>
      <c r="O15" s="27" t="str">
        <f>IF(N15="","",IF(N15-1&gt;Overview!$G$7,"Overpacing",IF(1-N15&gt;Overview!$G$7,"Underpacing",IF(N15-1&gt;Overview!$G$6,"Slightly over",IF(1-N15&gt;Overview!$G$6,"Slightly under","On pace")))))</f>
        <v>Slightly under</v>
      </c>
      <c r="P15" s="25">
        <f t="shared" si="5"/>
        <v>2643.6800000000003</v>
      </c>
      <c r="Q15" s="25">
        <f t="shared" si="6"/>
        <v>440.6133333333334</v>
      </c>
    </row>
    <row r="16" spans="3:17" x14ac:dyDescent="0.35">
      <c r="C16" s="53">
        <v>46267</v>
      </c>
      <c r="D16" s="47" t="s">
        <v>5</v>
      </c>
      <c r="E16" s="47" t="s">
        <v>89</v>
      </c>
      <c r="F16" s="48">
        <v>717.63</v>
      </c>
      <c r="H16" s="54"/>
      <c r="I16" s="23" t="str">
        <f t="shared" si="0"/>
        <v/>
      </c>
      <c r="J16" s="23" t="str">
        <f t="shared" si="1"/>
        <v/>
      </c>
      <c r="K16" s="24"/>
      <c r="L16" s="25" t="str">
        <f t="shared" si="2"/>
        <v/>
      </c>
      <c r="M16" s="18" t="str">
        <f t="shared" si="3"/>
        <v/>
      </c>
      <c r="N16" s="26" t="str">
        <f t="shared" si="4"/>
        <v/>
      </c>
      <c r="O16" s="27" t="str">
        <f>IF(N16="","",IF(N16-1&gt;Overview!$G$7,"Overpacing",IF(1-N16&gt;Overview!$G$7,"Underpacing",IF(N16-1&gt;Overview!$G$6,"Slightly over",IF(1-N16&gt;Overview!$G$6,"Slightly under","On pace")))))</f>
        <v/>
      </c>
      <c r="P16" s="25" t="str">
        <f t="shared" si="5"/>
        <v/>
      </c>
      <c r="Q16" s="25" t="str">
        <f t="shared" si="6"/>
        <v/>
      </c>
    </row>
    <row r="17" spans="3:17" x14ac:dyDescent="0.35">
      <c r="C17" s="53">
        <v>46267</v>
      </c>
      <c r="D17" s="47" t="s">
        <v>5</v>
      </c>
      <c r="E17" s="47" t="s">
        <v>90</v>
      </c>
      <c r="F17" s="48">
        <v>218.58</v>
      </c>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3:17" x14ac:dyDescent="0.35">
      <c r="C18" s="53">
        <v>46268</v>
      </c>
      <c r="D18" s="47" t="s">
        <v>5</v>
      </c>
      <c r="E18" s="47" t="s">
        <v>89</v>
      </c>
      <c r="F18" s="48">
        <v>582.28</v>
      </c>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3:17" x14ac:dyDescent="0.35">
      <c r="C19" s="53">
        <v>46268</v>
      </c>
      <c r="D19" s="47" t="s">
        <v>5</v>
      </c>
      <c r="E19" s="47" t="s">
        <v>90</v>
      </c>
      <c r="F19" s="48">
        <v>284.54000000000002</v>
      </c>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3:17" x14ac:dyDescent="0.35">
      <c r="C20" s="53">
        <v>46269</v>
      </c>
      <c r="D20" s="47" t="s">
        <v>5</v>
      </c>
      <c r="E20" s="47" t="s">
        <v>89</v>
      </c>
      <c r="F20" s="48">
        <v>518.20000000000005</v>
      </c>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3:17" x14ac:dyDescent="0.35">
      <c r="C21" s="53">
        <v>46269</v>
      </c>
      <c r="D21" s="47" t="s">
        <v>5</v>
      </c>
      <c r="E21" s="47" t="s">
        <v>90</v>
      </c>
      <c r="F21" s="48">
        <v>256.86</v>
      </c>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3:17" x14ac:dyDescent="0.35">
      <c r="C22" s="53">
        <v>46270</v>
      </c>
      <c r="D22" s="47" t="s">
        <v>5</v>
      </c>
      <c r="E22" s="47" t="s">
        <v>89</v>
      </c>
      <c r="F22" s="48">
        <v>491.04</v>
      </c>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3:17" x14ac:dyDescent="0.35">
      <c r="C23" s="53">
        <v>46270</v>
      </c>
      <c r="D23" s="47" t="s">
        <v>5</v>
      </c>
      <c r="E23" s="47" t="s">
        <v>90</v>
      </c>
      <c r="F23" s="48">
        <v>275.36</v>
      </c>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3:17" x14ac:dyDescent="0.35">
      <c r="C24" s="53">
        <v>46271</v>
      </c>
      <c r="D24" s="47" t="s">
        <v>5</v>
      </c>
      <c r="E24" s="47" t="s">
        <v>89</v>
      </c>
      <c r="F24" s="48">
        <v>665.71</v>
      </c>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3:17" x14ac:dyDescent="0.35">
      <c r="C25" s="53">
        <v>46271</v>
      </c>
      <c r="D25" s="47" t="s">
        <v>5</v>
      </c>
      <c r="E25" s="47" t="s">
        <v>90</v>
      </c>
      <c r="F25" s="48">
        <v>265.54000000000002</v>
      </c>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3:17" x14ac:dyDescent="0.35">
      <c r="C26" s="53">
        <v>46272</v>
      </c>
      <c r="D26" s="47" t="s">
        <v>5</v>
      </c>
      <c r="E26" s="47" t="s">
        <v>89</v>
      </c>
      <c r="F26" s="48">
        <v>692.42</v>
      </c>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3:17" x14ac:dyDescent="0.35">
      <c r="C27" s="53">
        <v>46272</v>
      </c>
      <c r="D27" s="47" t="s">
        <v>5</v>
      </c>
      <c r="E27" s="47" t="s">
        <v>90</v>
      </c>
      <c r="F27" s="48">
        <v>238.78</v>
      </c>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3:17" x14ac:dyDescent="0.35">
      <c r="C28" s="53">
        <v>46273</v>
      </c>
      <c r="D28" s="47" t="s">
        <v>5</v>
      </c>
      <c r="E28" s="47" t="s">
        <v>89</v>
      </c>
      <c r="F28" s="48">
        <v>649.03</v>
      </c>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3:17" x14ac:dyDescent="0.35">
      <c r="C29" s="53">
        <v>46273</v>
      </c>
      <c r="D29" s="47" t="s">
        <v>5</v>
      </c>
      <c r="E29" s="47" t="s">
        <v>90</v>
      </c>
      <c r="F29" s="48">
        <v>267.74</v>
      </c>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3:17" x14ac:dyDescent="0.35">
      <c r="C30" s="53">
        <v>46274</v>
      </c>
      <c r="D30" s="47" t="s">
        <v>5</v>
      </c>
      <c r="E30" s="47" t="s">
        <v>89</v>
      </c>
      <c r="F30" s="48">
        <v>621.24</v>
      </c>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3:17" x14ac:dyDescent="0.35">
      <c r="C31" s="53">
        <v>46274</v>
      </c>
      <c r="D31" s="47" t="s">
        <v>5</v>
      </c>
      <c r="E31" s="47" t="s">
        <v>90</v>
      </c>
      <c r="F31" s="48">
        <v>253.48</v>
      </c>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3:17" x14ac:dyDescent="0.35">
      <c r="C32" s="53">
        <v>46275</v>
      </c>
      <c r="D32" s="47" t="s">
        <v>5</v>
      </c>
      <c r="E32" s="47" t="s">
        <v>89</v>
      </c>
      <c r="F32" s="48">
        <v>683.86</v>
      </c>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3:17" x14ac:dyDescent="0.35">
      <c r="C33" s="53">
        <v>46275</v>
      </c>
      <c r="D33" s="47" t="s">
        <v>5</v>
      </c>
      <c r="E33" s="47" t="s">
        <v>90</v>
      </c>
      <c r="F33" s="48">
        <v>303.89</v>
      </c>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3:17" x14ac:dyDescent="0.35">
      <c r="C34" s="53">
        <v>46276</v>
      </c>
      <c r="D34" s="47" t="s">
        <v>5</v>
      </c>
      <c r="E34" s="47" t="s">
        <v>89</v>
      </c>
      <c r="F34" s="48">
        <v>595.76</v>
      </c>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3:17" x14ac:dyDescent="0.35">
      <c r="C35" s="53">
        <v>46276</v>
      </c>
      <c r="D35" s="47" t="s">
        <v>5</v>
      </c>
      <c r="E35" s="47" t="s">
        <v>90</v>
      </c>
      <c r="F35" s="48">
        <v>274.94</v>
      </c>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3:17" x14ac:dyDescent="0.35">
      <c r="C36" s="53">
        <v>46277</v>
      </c>
      <c r="D36" s="47" t="s">
        <v>5</v>
      </c>
      <c r="E36" s="47" t="s">
        <v>89</v>
      </c>
      <c r="F36" s="48">
        <v>496.21</v>
      </c>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3:17" x14ac:dyDescent="0.35">
      <c r="C37" s="53">
        <v>46277</v>
      </c>
      <c r="D37" s="47" t="s">
        <v>5</v>
      </c>
      <c r="E37" s="47" t="s">
        <v>90</v>
      </c>
      <c r="F37" s="48">
        <v>278.79000000000002</v>
      </c>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3:17" x14ac:dyDescent="0.35">
      <c r="C38" s="53">
        <v>46278</v>
      </c>
      <c r="D38" s="47" t="s">
        <v>5</v>
      </c>
      <c r="E38" s="47" t="s">
        <v>89</v>
      </c>
      <c r="F38" s="48">
        <v>637.42999999999995</v>
      </c>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row r="39" spans="3:17" x14ac:dyDescent="0.35">
      <c r="C39" s="53">
        <v>46278</v>
      </c>
      <c r="D39" s="47" t="s">
        <v>5</v>
      </c>
      <c r="E39" s="47" t="s">
        <v>90</v>
      </c>
      <c r="F39" s="48">
        <v>308.89</v>
      </c>
    </row>
    <row r="40" spans="3:17" x14ac:dyDescent="0.35">
      <c r="C40" s="53">
        <v>46279</v>
      </c>
      <c r="D40" s="47" t="s">
        <v>5</v>
      </c>
      <c r="E40" s="47" t="s">
        <v>89</v>
      </c>
      <c r="F40" s="48">
        <v>679.52</v>
      </c>
    </row>
    <row r="41" spans="3:17" x14ac:dyDescent="0.35">
      <c r="C41" s="53">
        <v>46279</v>
      </c>
      <c r="D41" s="47" t="s">
        <v>5</v>
      </c>
      <c r="E41" s="47" t="s">
        <v>90</v>
      </c>
      <c r="F41" s="48">
        <v>235.77</v>
      </c>
    </row>
    <row r="42" spans="3:17" x14ac:dyDescent="0.35">
      <c r="C42" s="53">
        <v>46280</v>
      </c>
      <c r="D42" s="47" t="s">
        <v>5</v>
      </c>
      <c r="E42" s="47" t="s">
        <v>89</v>
      </c>
      <c r="F42" s="48">
        <v>574.5</v>
      </c>
    </row>
    <row r="43" spans="3:17" x14ac:dyDescent="0.35">
      <c r="C43" s="53">
        <v>46280</v>
      </c>
      <c r="D43" s="47" t="s">
        <v>5</v>
      </c>
      <c r="E43" s="47" t="s">
        <v>90</v>
      </c>
      <c r="F43" s="48">
        <v>275.39999999999998</v>
      </c>
    </row>
    <row r="44" spans="3:17" x14ac:dyDescent="0.35">
      <c r="C44" s="53">
        <v>46281</v>
      </c>
      <c r="D44" s="47" t="s">
        <v>5</v>
      </c>
      <c r="E44" s="47" t="s">
        <v>89</v>
      </c>
      <c r="F44" s="48">
        <v>487.03</v>
      </c>
    </row>
    <row r="45" spans="3:17" x14ac:dyDescent="0.35">
      <c r="C45" s="53">
        <v>46281</v>
      </c>
      <c r="D45" s="47" t="s">
        <v>5</v>
      </c>
      <c r="E45" s="47" t="s">
        <v>90</v>
      </c>
      <c r="F45" s="48">
        <v>254.05</v>
      </c>
    </row>
    <row r="46" spans="3:17" x14ac:dyDescent="0.35">
      <c r="C46" s="53">
        <v>46282</v>
      </c>
      <c r="D46" s="47" t="s">
        <v>5</v>
      </c>
      <c r="E46" s="47" t="s">
        <v>89</v>
      </c>
      <c r="F46" s="48">
        <v>522.07000000000005</v>
      </c>
    </row>
    <row r="47" spans="3:17" x14ac:dyDescent="0.35">
      <c r="C47" s="53">
        <v>46282</v>
      </c>
      <c r="D47" s="47" t="s">
        <v>5</v>
      </c>
      <c r="E47" s="47" t="s">
        <v>90</v>
      </c>
      <c r="F47" s="48">
        <v>218.48</v>
      </c>
    </row>
    <row r="48" spans="3:17" x14ac:dyDescent="0.35">
      <c r="C48" s="53">
        <v>46283</v>
      </c>
      <c r="D48" s="47" t="s">
        <v>5</v>
      </c>
      <c r="E48" s="47" t="s">
        <v>89</v>
      </c>
      <c r="F48" s="48">
        <v>495.8</v>
      </c>
    </row>
    <row r="49" spans="3:6" x14ac:dyDescent="0.35">
      <c r="C49" s="53">
        <v>46283</v>
      </c>
      <c r="D49" s="47" t="s">
        <v>5</v>
      </c>
      <c r="E49" s="47" t="s">
        <v>90</v>
      </c>
      <c r="F49" s="48">
        <v>285.68</v>
      </c>
    </row>
    <row r="50" spans="3:6" x14ac:dyDescent="0.35">
      <c r="C50" s="53">
        <v>46284</v>
      </c>
      <c r="D50" s="47" t="s">
        <v>5</v>
      </c>
      <c r="E50" s="47" t="s">
        <v>89</v>
      </c>
      <c r="F50" s="48">
        <v>512.75</v>
      </c>
    </row>
    <row r="51" spans="3:6" x14ac:dyDescent="0.35">
      <c r="C51" s="53">
        <v>46284</v>
      </c>
      <c r="D51" s="47" t="s">
        <v>5</v>
      </c>
      <c r="E51" s="47" t="s">
        <v>90</v>
      </c>
      <c r="F51" s="48">
        <v>231.95</v>
      </c>
    </row>
    <row r="52" spans="3:6" x14ac:dyDescent="0.35">
      <c r="C52" s="53">
        <v>46285</v>
      </c>
      <c r="D52" s="47" t="s">
        <v>5</v>
      </c>
      <c r="E52" s="47" t="s">
        <v>89</v>
      </c>
      <c r="F52" s="48">
        <v>575.74</v>
      </c>
    </row>
    <row r="53" spans="3:6" x14ac:dyDescent="0.35">
      <c r="C53" s="53">
        <v>46285</v>
      </c>
      <c r="D53" s="47" t="s">
        <v>5</v>
      </c>
      <c r="E53" s="47" t="s">
        <v>90</v>
      </c>
      <c r="F53" s="48">
        <v>296.33</v>
      </c>
    </row>
    <row r="54" spans="3:6" x14ac:dyDescent="0.35">
      <c r="C54" s="53">
        <v>46286</v>
      </c>
      <c r="D54" s="47" t="s">
        <v>5</v>
      </c>
      <c r="E54" s="47" t="s">
        <v>89</v>
      </c>
      <c r="F54" s="48">
        <v>501</v>
      </c>
    </row>
    <row r="55" spans="3:6" x14ac:dyDescent="0.35">
      <c r="C55" s="53">
        <v>46286</v>
      </c>
      <c r="D55" s="47" t="s">
        <v>5</v>
      </c>
      <c r="E55" s="47" t="s">
        <v>90</v>
      </c>
      <c r="F55" s="48">
        <v>252.76</v>
      </c>
    </row>
    <row r="56" spans="3:6" x14ac:dyDescent="0.35">
      <c r="C56" s="53">
        <v>46287</v>
      </c>
      <c r="D56" s="47" t="s">
        <v>5</v>
      </c>
      <c r="E56" s="47" t="s">
        <v>89</v>
      </c>
      <c r="F56" s="48">
        <v>613.91</v>
      </c>
    </row>
    <row r="57" spans="3:6" x14ac:dyDescent="0.35">
      <c r="C57" s="53">
        <v>46287</v>
      </c>
      <c r="D57" s="47" t="s">
        <v>5</v>
      </c>
      <c r="E57" s="47" t="s">
        <v>90</v>
      </c>
      <c r="F57" s="48">
        <v>297.57</v>
      </c>
    </row>
    <row r="58" spans="3:6" x14ac:dyDescent="0.35">
      <c r="C58" s="53">
        <v>46288</v>
      </c>
      <c r="D58" s="47" t="s">
        <v>5</v>
      </c>
      <c r="E58" s="47" t="s">
        <v>89</v>
      </c>
      <c r="F58" s="48">
        <v>678.88</v>
      </c>
    </row>
    <row r="59" spans="3:6" x14ac:dyDescent="0.35">
      <c r="C59" s="53">
        <v>46288</v>
      </c>
      <c r="D59" s="47" t="s">
        <v>5</v>
      </c>
      <c r="E59" s="47" t="s">
        <v>90</v>
      </c>
      <c r="F59" s="48">
        <v>295.56</v>
      </c>
    </row>
    <row r="60" spans="3:6" x14ac:dyDescent="0.35">
      <c r="C60" s="53">
        <v>46289</v>
      </c>
      <c r="D60" s="47" t="s">
        <v>5</v>
      </c>
      <c r="E60" s="47" t="s">
        <v>89</v>
      </c>
      <c r="F60" s="48">
        <v>548.64</v>
      </c>
    </row>
    <row r="61" spans="3:6" x14ac:dyDescent="0.35">
      <c r="C61" s="53">
        <v>46289</v>
      </c>
      <c r="D61" s="47" t="s">
        <v>5</v>
      </c>
      <c r="E61" s="47" t="s">
        <v>90</v>
      </c>
      <c r="F61" s="48">
        <v>249.26</v>
      </c>
    </row>
  </sheetData>
  <mergeCells count="5">
    <mergeCell ref="M2:Q3"/>
    <mergeCell ref="I6:J6"/>
    <mergeCell ref="I7:J7"/>
    <mergeCell ref="I8:J8"/>
    <mergeCell ref="H9:Q9"/>
  </mergeCells>
  <conditionalFormatting sqref="C14:C10013">
    <cfRule type="expression" dxfId="69" priority="7">
      <formula>AND(C14&lt;&gt;"",NOT(ISNUMBER(C14)))</formula>
    </cfRule>
  </conditionalFormatting>
  <conditionalFormatting sqref="C14:F10013">
    <cfRule type="expression" dxfId="68" priority="6">
      <formula>OR(ROW()&lt;54,COUNTA($C14:$F14)&gt;0)</formula>
    </cfRule>
  </conditionalFormatting>
  <conditionalFormatting sqref="F8">
    <cfRule type="expression" dxfId="67" priority="5">
      <formula>$F$8&gt;0</formula>
    </cfRule>
  </conditionalFormatting>
  <conditionalFormatting sqref="F14:F10013">
    <cfRule type="expression" dxfId="66" priority="8">
      <formula>AND(F14&lt;&gt;"",NOT(ISNUMBER(F14)))</formula>
    </cfRule>
  </conditionalFormatting>
  <conditionalFormatting sqref="I7:J8">
    <cfRule type="expression" dxfId="65" priority="2">
      <formula>OR($I$8="Overpacing",$I$8="Underpacing",$I$8="Tab not found")</formula>
    </cfRule>
    <cfRule type="expression" dxfId="64" priority="3">
      <formula>OR($I$8="Slightly over",$I$8="Slightly under")</formula>
    </cfRule>
    <cfRule type="expression" dxfId="63" priority="4">
      <formula>$I$8="On pace"</formula>
    </cfRule>
  </conditionalFormatting>
  <conditionalFormatting sqref="N14:O38">
    <cfRule type="expression" dxfId="62" priority="9">
      <formula>OR($O14="Overpacing",$O14="Underpacing",$O14="Tab not found")</formula>
    </cfRule>
    <cfRule type="expression" dxfId="61" priority="10">
      <formula>OR($O14="Slightly over",$O14="Slightly under")</formula>
    </cfRule>
    <cfRule type="expression" dxfId="60" priority="11">
      <formula>$O14="On pace"</formula>
    </cfRule>
  </conditionalFormatting>
  <dataValidations count="3">
    <dataValidation type="custom" showInputMessage="1" promptTitle="Channel name" prompt="Must match this tab's name and the name in the Overview Channel column." sqref="D6" xr:uid="{00000000-0002-0000-0300-000000000000}">
      <formula1>1</formula1>
      <formula2>0</formula2>
    </dataValidation>
    <dataValidation type="date" operator="greaterThan" showErrorMessage="1" error="Enter a date" sqref="I14:J38" xr:uid="{00000000-0002-0000-0300-000001000000}">
      <formula1>1</formula1>
      <formula2>0</formula2>
    </dataValidation>
    <dataValidation type="decimal" operator="greaterThanOrEqual" showErrorMessage="1" error="Enter a number" sqref="K14:K38" xr:uid="{00000000-0002-0000-03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Q61"/>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LinkedIn</v>
      </c>
      <c r="N2" s="14"/>
      <c r="O2" s="14"/>
      <c r="P2" s="14"/>
      <c r="Q2" s="14"/>
    </row>
    <row r="3" spans="3:17" x14ac:dyDescent="0.35">
      <c r="M3" s="14"/>
      <c r="N3" s="14"/>
      <c r="O3" s="14"/>
      <c r="P3" s="14"/>
      <c r="Q3" s="14"/>
    </row>
    <row r="6" spans="3:17" x14ac:dyDescent="0.35">
      <c r="C6" s="15" t="s">
        <v>71</v>
      </c>
      <c r="D6" s="49" t="s">
        <v>41</v>
      </c>
      <c r="E6" s="15" t="s">
        <v>72</v>
      </c>
      <c r="F6" s="50">
        <f>COUNTA($C$14:$C$10013)</f>
        <v>48</v>
      </c>
      <c r="H6" s="15" t="s">
        <v>73</v>
      </c>
      <c r="I6" s="3">
        <f ca="1">IFERROR(IF(INDEX(Overview!$H$18:$H$33,MATCH($D$6,Overview!$C$18:$C$33,0))="","",INDEX(Overview!$H$18:$H$33,MATCH($D$6,Overview!$C$18:$C$33,0))),"")</f>
        <v>11143.359999999997</v>
      </c>
      <c r="J6" s="3"/>
    </row>
    <row r="7" spans="3:17" x14ac:dyDescent="0.35">
      <c r="C7" s="15" t="s">
        <v>26</v>
      </c>
      <c r="D7" s="18">
        <f>IFERROR(IF(INDEX(Overview!$D$18:$D$33,MATCH($D$6,Overview!$C$18:$C$33,0))="","",INDEX(Overview!$D$18:$D$33,MATCH($D$6,Overview!$C$18:$C$33,0))),"")</f>
        <v>46266</v>
      </c>
      <c r="E7" s="15" t="s">
        <v>74</v>
      </c>
      <c r="F7" s="51">
        <f>SUM($F$14:$F$10013)</f>
        <v>11143.359999999997</v>
      </c>
      <c r="H7" s="15" t="s">
        <v>31</v>
      </c>
      <c r="I7" s="2">
        <f ca="1">IFERROR(IF(INDEX(Overview!$K$18:$K$33,MATCH($D$6,Overview!$C$18:$C$33,0))="","",INDEX(Overview!$K$18:$K$33,MATCH($D$6,Overview!$C$18:$C$33,0))),"")</f>
        <v>0.69645999999999986</v>
      </c>
      <c r="J7" s="2"/>
    </row>
    <row r="8" spans="3:17" x14ac:dyDescent="0.35">
      <c r="C8" s="15" t="s">
        <v>27</v>
      </c>
      <c r="D8" s="18">
        <f>IFERROR(IF(INDEX(Overview!$E$18:$E$33,MATCH($D$6,Overview!$C$18:$C$33,0))="","",INDEX(Overview!$E$18:$E$33,MATCH($D$6,Overview!$C$18:$C$33,0))),"")</f>
        <v>46295</v>
      </c>
      <c r="E8" s="15" t="s">
        <v>75</v>
      </c>
      <c r="F8" s="50">
        <f>(COUNTA($C$14:$C$10013)-COUNT($C$14:$C$10013))+(COUNTA($F$14:$F$10013)-COUNT($F$14:$F$10013))</f>
        <v>0</v>
      </c>
      <c r="H8" s="15" t="s">
        <v>22</v>
      </c>
      <c r="I8" s="1" t="str">
        <f ca="1">IFERROR(IF(INDEX(Overview!$L$18:$L$33,MATCH($D$6,Overview!$C$18:$C$33,0))="","",INDEX(Overview!$L$18:$L$33,MATCH($D$6,Overview!$C$18:$C$33,0))),"")</f>
        <v>Underpacing</v>
      </c>
      <c r="J8" s="1"/>
    </row>
    <row r="9" spans="3:17" x14ac:dyDescent="0.35">
      <c r="C9" s="15" t="s">
        <v>76</v>
      </c>
      <c r="D9" s="52">
        <f>IFERROR(IF(INDEX(Overview!$F$18:$F$33,MATCH($D$6,Overview!$C$18:$C$33,0))="","",INDEX(Overview!$F$18:$F$33,MATCH($D$6,Overview!$C$18:$C$33,0))),"")</f>
        <v>20000</v>
      </c>
      <c r="E9" s="15" t="s">
        <v>77</v>
      </c>
      <c r="F9" s="50">
        <f>IF(OR($D$7="",$D$8=""),"",COUNT($C$14:$C$10013)-COUNTIFS($C$14:$C$10013,"&gt;="&amp;$D$7,$C$14:$C$10013,"&lt;="&amp;$D$8))</f>
        <v>0</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91</v>
      </c>
      <c r="E13" s="20" t="s">
        <v>92</v>
      </c>
      <c r="F13" s="20" t="s">
        <v>84</v>
      </c>
      <c r="H13" s="20" t="s">
        <v>85</v>
      </c>
      <c r="I13" s="20" t="s">
        <v>26</v>
      </c>
      <c r="J13" s="20" t="s">
        <v>27</v>
      </c>
      <c r="K13" s="20" t="s">
        <v>76</v>
      </c>
      <c r="L13" s="20" t="s">
        <v>29</v>
      </c>
      <c r="M13" s="20" t="s">
        <v>15</v>
      </c>
      <c r="N13" s="20" t="s">
        <v>31</v>
      </c>
      <c r="O13" s="20" t="s">
        <v>22</v>
      </c>
      <c r="P13" s="20" t="s">
        <v>20</v>
      </c>
      <c r="Q13" s="20" t="s">
        <v>35</v>
      </c>
    </row>
    <row r="14" spans="3:17" x14ac:dyDescent="0.35">
      <c r="C14" s="53">
        <v>46266</v>
      </c>
      <c r="D14" s="47" t="s">
        <v>5</v>
      </c>
      <c r="E14" s="47" t="s">
        <v>93</v>
      </c>
      <c r="F14" s="48">
        <v>294.37</v>
      </c>
      <c r="H14" s="54" t="s">
        <v>93</v>
      </c>
      <c r="I14" s="23">
        <f t="shared" ref="I14:I38" si="0">IF(OR(H14="",$D$7=""),"",$D$7)</f>
        <v>46266</v>
      </c>
      <c r="J14" s="23">
        <f t="shared" ref="J14:J38" si="1">IF(OR(H14="",$D$8=""),"",$D$8)</f>
        <v>46295</v>
      </c>
      <c r="K14" s="24">
        <v>13000</v>
      </c>
      <c r="L14" s="25">
        <f t="shared" ref="L14:L38" si="2">IF(OR(H14="",I14="",J14=""),"",SUMIFS($F$14:$F$10013,$E$14:$E$10013,H14,$C$14:$C$10013,"&gt;="&amp;I14,$C$14:$C$10013,"&lt;="&amp;J14))</f>
        <v>7228.52</v>
      </c>
      <c r="M14" s="18">
        <f t="shared" ref="M14:M38" si="3">IF(L14="","",IF(COUNTIFS($E$14:$E$10013,H14,$C$14:$C$10013,"&gt;="&amp;I14,$C$14:$C$10013,"&lt;="&amp;J14)=0,"",_xlfn.MAXIFS($C$14:$C$10013,$E$14:$E$10013,H14,$C$14:$C$10013,"&gt;="&amp;I14,$C$14:$C$10013,"&lt;="&amp;J14)))</f>
        <v>46289</v>
      </c>
      <c r="N14" s="26">
        <f t="shared" ref="N14:N38" si="4">IF(OR(M14="",K14="",K14=0),"",(L14/K14)/((M14-I14+1)/(J14-I14+1)))</f>
        <v>0.69504999999999995</v>
      </c>
      <c r="O14" s="27" t="str">
        <f>IF(N14="","",IF(N14-1&gt;Overview!$G$7,"Overpacing",IF(1-N14&gt;Overview!$G$7,"Underpacing",IF(N14-1&gt;Overview!$G$6,"Slightly over",IF(1-N14&gt;Overview!$G$6,"Slightly under","On pace")))))</f>
        <v>Underpacing</v>
      </c>
      <c r="P14" s="25">
        <f t="shared" ref="P14:P38" si="5">IF(OR(L14="",K14=""),"",K14-L14)</f>
        <v>5771.48</v>
      </c>
      <c r="Q14" s="25">
        <f t="shared" ref="Q14:Q38" si="6">IF(P14="","",IF(M14="",MAX(0,P14)/(J14-I14+1),IF(J14-M14&lt;=0,"",MAX(0,P14)/(J14-M14))))</f>
        <v>961.9133333333333</v>
      </c>
    </row>
    <row r="15" spans="3:17" x14ac:dyDescent="0.35">
      <c r="C15" s="53">
        <v>46266</v>
      </c>
      <c r="D15" s="47" t="s">
        <v>5</v>
      </c>
      <c r="E15" s="47" t="s">
        <v>94</v>
      </c>
      <c r="F15" s="48">
        <v>193.82</v>
      </c>
      <c r="H15" s="54" t="s">
        <v>94</v>
      </c>
      <c r="I15" s="23">
        <f t="shared" si="0"/>
        <v>46266</v>
      </c>
      <c r="J15" s="23">
        <f t="shared" si="1"/>
        <v>46295</v>
      </c>
      <c r="K15" s="24">
        <v>7000</v>
      </c>
      <c r="L15" s="25">
        <f t="shared" si="2"/>
        <v>3914.8399999999992</v>
      </c>
      <c r="M15" s="18">
        <f t="shared" si="3"/>
        <v>46289</v>
      </c>
      <c r="N15" s="26">
        <f t="shared" si="4"/>
        <v>0.69907857142857133</v>
      </c>
      <c r="O15" s="27" t="str">
        <f>IF(N15="","",IF(N15-1&gt;Overview!$G$7,"Overpacing",IF(1-N15&gt;Overview!$G$7,"Underpacing",IF(N15-1&gt;Overview!$G$6,"Slightly over",IF(1-N15&gt;Overview!$G$6,"Slightly under","On pace")))))</f>
        <v>Underpacing</v>
      </c>
      <c r="P15" s="25">
        <f t="shared" si="5"/>
        <v>3085.1600000000008</v>
      </c>
      <c r="Q15" s="25">
        <f t="shared" si="6"/>
        <v>514.1933333333335</v>
      </c>
    </row>
    <row r="16" spans="3:17" x14ac:dyDescent="0.35">
      <c r="C16" s="53">
        <v>46267</v>
      </c>
      <c r="D16" s="47" t="s">
        <v>5</v>
      </c>
      <c r="E16" s="47" t="s">
        <v>93</v>
      </c>
      <c r="F16" s="48">
        <v>369.12</v>
      </c>
      <c r="H16" s="54"/>
      <c r="I16" s="23" t="str">
        <f t="shared" si="0"/>
        <v/>
      </c>
      <c r="J16" s="23" t="str">
        <f t="shared" si="1"/>
        <v/>
      </c>
      <c r="K16" s="24"/>
      <c r="L16" s="25" t="str">
        <f t="shared" si="2"/>
        <v/>
      </c>
      <c r="M16" s="18" t="str">
        <f t="shared" si="3"/>
        <v/>
      </c>
      <c r="N16" s="26" t="str">
        <f t="shared" si="4"/>
        <v/>
      </c>
      <c r="O16" s="27" t="str">
        <f>IF(N16="","",IF(N16-1&gt;Overview!$G$7,"Overpacing",IF(1-N16&gt;Overview!$G$7,"Underpacing",IF(N16-1&gt;Overview!$G$6,"Slightly over",IF(1-N16&gt;Overview!$G$6,"Slightly under","On pace")))))</f>
        <v/>
      </c>
      <c r="P16" s="25" t="str">
        <f t="shared" si="5"/>
        <v/>
      </c>
      <c r="Q16" s="25" t="str">
        <f t="shared" si="6"/>
        <v/>
      </c>
    </row>
    <row r="17" spans="3:17" x14ac:dyDescent="0.35">
      <c r="C17" s="53">
        <v>46267</v>
      </c>
      <c r="D17" s="47" t="s">
        <v>5</v>
      </c>
      <c r="E17" s="47" t="s">
        <v>94</v>
      </c>
      <c r="F17" s="48">
        <v>144.54</v>
      </c>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3:17" x14ac:dyDescent="0.35">
      <c r="C18" s="53">
        <v>46268</v>
      </c>
      <c r="D18" s="47" t="s">
        <v>5</v>
      </c>
      <c r="E18" s="47" t="s">
        <v>93</v>
      </c>
      <c r="F18" s="48">
        <v>271.58999999999997</v>
      </c>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3:17" x14ac:dyDescent="0.35">
      <c r="C19" s="53">
        <v>46268</v>
      </c>
      <c r="D19" s="47" t="s">
        <v>5</v>
      </c>
      <c r="E19" s="47" t="s">
        <v>94</v>
      </c>
      <c r="F19" s="48">
        <v>149.99</v>
      </c>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3:17" x14ac:dyDescent="0.35">
      <c r="C20" s="53">
        <v>46269</v>
      </c>
      <c r="D20" s="47" t="s">
        <v>5</v>
      </c>
      <c r="E20" s="47" t="s">
        <v>93</v>
      </c>
      <c r="F20" s="48">
        <v>278.72000000000003</v>
      </c>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3:17" x14ac:dyDescent="0.35">
      <c r="C21" s="53">
        <v>46269</v>
      </c>
      <c r="D21" s="47" t="s">
        <v>5</v>
      </c>
      <c r="E21" s="47" t="s">
        <v>94</v>
      </c>
      <c r="F21" s="48">
        <v>166.99</v>
      </c>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3:17" x14ac:dyDescent="0.35">
      <c r="C22" s="53">
        <v>46270</v>
      </c>
      <c r="D22" s="47" t="s">
        <v>5</v>
      </c>
      <c r="E22" s="47" t="s">
        <v>93</v>
      </c>
      <c r="F22" s="48">
        <v>323.12</v>
      </c>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3:17" x14ac:dyDescent="0.35">
      <c r="C23" s="53">
        <v>46270</v>
      </c>
      <c r="D23" s="47" t="s">
        <v>5</v>
      </c>
      <c r="E23" s="47" t="s">
        <v>94</v>
      </c>
      <c r="F23" s="48">
        <v>152.06</v>
      </c>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3:17" x14ac:dyDescent="0.35">
      <c r="C24" s="53">
        <v>46271</v>
      </c>
      <c r="D24" s="47" t="s">
        <v>5</v>
      </c>
      <c r="E24" s="47" t="s">
        <v>93</v>
      </c>
      <c r="F24" s="48">
        <v>250.11</v>
      </c>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3:17" x14ac:dyDescent="0.35">
      <c r="C25" s="53">
        <v>46271</v>
      </c>
      <c r="D25" s="47" t="s">
        <v>5</v>
      </c>
      <c r="E25" s="47" t="s">
        <v>94</v>
      </c>
      <c r="F25" s="48">
        <v>162.55000000000001</v>
      </c>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3:17" x14ac:dyDescent="0.35">
      <c r="C26" s="53">
        <v>46272</v>
      </c>
      <c r="D26" s="47" t="s">
        <v>5</v>
      </c>
      <c r="E26" s="47" t="s">
        <v>93</v>
      </c>
      <c r="F26" s="48">
        <v>295.68</v>
      </c>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3:17" x14ac:dyDescent="0.35">
      <c r="C27" s="53">
        <v>46272</v>
      </c>
      <c r="D27" s="47" t="s">
        <v>5</v>
      </c>
      <c r="E27" s="47" t="s">
        <v>94</v>
      </c>
      <c r="F27" s="48">
        <v>172.46</v>
      </c>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3:17" x14ac:dyDescent="0.35">
      <c r="C28" s="53">
        <v>46273</v>
      </c>
      <c r="D28" s="47" t="s">
        <v>5</v>
      </c>
      <c r="E28" s="47" t="s">
        <v>93</v>
      </c>
      <c r="F28" s="48">
        <v>368.55</v>
      </c>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3:17" x14ac:dyDescent="0.35">
      <c r="C29" s="53">
        <v>46273</v>
      </c>
      <c r="D29" s="47" t="s">
        <v>5</v>
      </c>
      <c r="E29" s="47" t="s">
        <v>94</v>
      </c>
      <c r="F29" s="48">
        <v>180.8</v>
      </c>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3:17" x14ac:dyDescent="0.35">
      <c r="C30" s="53">
        <v>46274</v>
      </c>
      <c r="D30" s="47" t="s">
        <v>5</v>
      </c>
      <c r="E30" s="47" t="s">
        <v>93</v>
      </c>
      <c r="F30" s="48">
        <v>313.93</v>
      </c>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3:17" x14ac:dyDescent="0.35">
      <c r="C31" s="53">
        <v>46274</v>
      </c>
      <c r="D31" s="47" t="s">
        <v>5</v>
      </c>
      <c r="E31" s="47" t="s">
        <v>94</v>
      </c>
      <c r="F31" s="48">
        <v>175.9</v>
      </c>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3:17" x14ac:dyDescent="0.35">
      <c r="C32" s="53">
        <v>46275</v>
      </c>
      <c r="D32" s="47" t="s">
        <v>5</v>
      </c>
      <c r="E32" s="47" t="s">
        <v>93</v>
      </c>
      <c r="F32" s="48">
        <v>333.99</v>
      </c>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3:17" x14ac:dyDescent="0.35">
      <c r="C33" s="53">
        <v>46275</v>
      </c>
      <c r="D33" s="47" t="s">
        <v>5</v>
      </c>
      <c r="E33" s="47" t="s">
        <v>94</v>
      </c>
      <c r="F33" s="48">
        <v>138.03</v>
      </c>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3:17" x14ac:dyDescent="0.35">
      <c r="C34" s="53">
        <v>46276</v>
      </c>
      <c r="D34" s="47" t="s">
        <v>5</v>
      </c>
      <c r="E34" s="47" t="s">
        <v>93</v>
      </c>
      <c r="F34" s="48">
        <v>361.86</v>
      </c>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3:17" x14ac:dyDescent="0.35">
      <c r="C35" s="53">
        <v>46276</v>
      </c>
      <c r="D35" s="47" t="s">
        <v>5</v>
      </c>
      <c r="E35" s="47" t="s">
        <v>94</v>
      </c>
      <c r="F35" s="48">
        <v>186.81</v>
      </c>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3:17" x14ac:dyDescent="0.35">
      <c r="C36" s="53">
        <v>46277</v>
      </c>
      <c r="D36" s="47" t="s">
        <v>5</v>
      </c>
      <c r="E36" s="47" t="s">
        <v>93</v>
      </c>
      <c r="F36" s="48">
        <v>358.74</v>
      </c>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3:17" x14ac:dyDescent="0.35">
      <c r="C37" s="53">
        <v>46277</v>
      </c>
      <c r="D37" s="47" t="s">
        <v>5</v>
      </c>
      <c r="E37" s="47" t="s">
        <v>94</v>
      </c>
      <c r="F37" s="48">
        <v>188.02</v>
      </c>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3:17" x14ac:dyDescent="0.35">
      <c r="C38" s="53">
        <v>46278</v>
      </c>
      <c r="D38" s="47" t="s">
        <v>5</v>
      </c>
      <c r="E38" s="47" t="s">
        <v>93</v>
      </c>
      <c r="F38" s="48">
        <v>298.57</v>
      </c>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row r="39" spans="3:17" x14ac:dyDescent="0.35">
      <c r="C39" s="53">
        <v>46278</v>
      </c>
      <c r="D39" s="47" t="s">
        <v>5</v>
      </c>
      <c r="E39" s="47" t="s">
        <v>94</v>
      </c>
      <c r="F39" s="48">
        <v>161.21</v>
      </c>
    </row>
    <row r="40" spans="3:17" x14ac:dyDescent="0.35">
      <c r="C40" s="53">
        <v>46279</v>
      </c>
      <c r="D40" s="47" t="s">
        <v>5</v>
      </c>
      <c r="E40" s="47" t="s">
        <v>93</v>
      </c>
      <c r="F40" s="48">
        <v>262.52</v>
      </c>
    </row>
    <row r="41" spans="3:17" x14ac:dyDescent="0.35">
      <c r="C41" s="53">
        <v>46279</v>
      </c>
      <c r="D41" s="47" t="s">
        <v>5</v>
      </c>
      <c r="E41" s="47" t="s">
        <v>94</v>
      </c>
      <c r="F41" s="48">
        <v>177.02</v>
      </c>
    </row>
    <row r="42" spans="3:17" x14ac:dyDescent="0.35">
      <c r="C42" s="53">
        <v>46280</v>
      </c>
      <c r="D42" s="47" t="s">
        <v>5</v>
      </c>
      <c r="E42" s="47" t="s">
        <v>93</v>
      </c>
      <c r="F42" s="48">
        <v>257.37</v>
      </c>
    </row>
    <row r="43" spans="3:17" x14ac:dyDescent="0.35">
      <c r="C43" s="53">
        <v>46280</v>
      </c>
      <c r="D43" s="47" t="s">
        <v>5</v>
      </c>
      <c r="E43" s="47" t="s">
        <v>94</v>
      </c>
      <c r="F43" s="48">
        <v>138.93</v>
      </c>
    </row>
    <row r="44" spans="3:17" x14ac:dyDescent="0.35">
      <c r="C44" s="53">
        <v>46281</v>
      </c>
      <c r="D44" s="47" t="s">
        <v>5</v>
      </c>
      <c r="E44" s="47" t="s">
        <v>93</v>
      </c>
      <c r="F44" s="48">
        <v>275.64999999999998</v>
      </c>
    </row>
    <row r="45" spans="3:17" x14ac:dyDescent="0.35">
      <c r="C45" s="53">
        <v>46281</v>
      </c>
      <c r="D45" s="47" t="s">
        <v>5</v>
      </c>
      <c r="E45" s="47" t="s">
        <v>94</v>
      </c>
      <c r="F45" s="48">
        <v>145.31</v>
      </c>
    </row>
    <row r="46" spans="3:17" x14ac:dyDescent="0.35">
      <c r="C46" s="53">
        <v>46282</v>
      </c>
      <c r="D46" s="47" t="s">
        <v>5</v>
      </c>
      <c r="E46" s="47" t="s">
        <v>93</v>
      </c>
      <c r="F46" s="48">
        <v>292.04000000000002</v>
      </c>
    </row>
    <row r="47" spans="3:17" x14ac:dyDescent="0.35">
      <c r="C47" s="53">
        <v>46282</v>
      </c>
      <c r="D47" s="47" t="s">
        <v>5</v>
      </c>
      <c r="E47" s="47" t="s">
        <v>94</v>
      </c>
      <c r="F47" s="48">
        <v>137.93</v>
      </c>
    </row>
    <row r="48" spans="3:17" x14ac:dyDescent="0.35">
      <c r="C48" s="53">
        <v>46283</v>
      </c>
      <c r="D48" s="47" t="s">
        <v>5</v>
      </c>
      <c r="E48" s="47" t="s">
        <v>93</v>
      </c>
      <c r="F48" s="48">
        <v>249.63</v>
      </c>
    </row>
    <row r="49" spans="3:6" x14ac:dyDescent="0.35">
      <c r="C49" s="53">
        <v>46283</v>
      </c>
      <c r="D49" s="47" t="s">
        <v>5</v>
      </c>
      <c r="E49" s="47" t="s">
        <v>94</v>
      </c>
      <c r="F49" s="48">
        <v>144.57</v>
      </c>
    </row>
    <row r="50" spans="3:6" x14ac:dyDescent="0.35">
      <c r="C50" s="53">
        <v>46284</v>
      </c>
      <c r="D50" s="47" t="s">
        <v>5</v>
      </c>
      <c r="E50" s="47" t="s">
        <v>93</v>
      </c>
      <c r="F50" s="48">
        <v>262.26</v>
      </c>
    </row>
    <row r="51" spans="3:6" x14ac:dyDescent="0.35">
      <c r="C51" s="53">
        <v>46284</v>
      </c>
      <c r="D51" s="47" t="s">
        <v>5</v>
      </c>
      <c r="E51" s="47" t="s">
        <v>94</v>
      </c>
      <c r="F51" s="48">
        <v>158.83000000000001</v>
      </c>
    </row>
    <row r="52" spans="3:6" x14ac:dyDescent="0.35">
      <c r="C52" s="53">
        <v>46285</v>
      </c>
      <c r="D52" s="47" t="s">
        <v>5</v>
      </c>
      <c r="E52" s="47" t="s">
        <v>93</v>
      </c>
      <c r="F52" s="48">
        <v>252.78</v>
      </c>
    </row>
    <row r="53" spans="3:6" x14ac:dyDescent="0.35">
      <c r="C53" s="53">
        <v>46285</v>
      </c>
      <c r="D53" s="47" t="s">
        <v>5</v>
      </c>
      <c r="E53" s="47" t="s">
        <v>94</v>
      </c>
      <c r="F53" s="48">
        <v>193.16</v>
      </c>
    </row>
    <row r="54" spans="3:6" x14ac:dyDescent="0.35">
      <c r="C54" s="53">
        <v>46286</v>
      </c>
      <c r="D54" s="47" t="s">
        <v>5</v>
      </c>
      <c r="E54" s="47" t="s">
        <v>93</v>
      </c>
      <c r="F54" s="48">
        <v>326.24</v>
      </c>
    </row>
    <row r="55" spans="3:6" x14ac:dyDescent="0.35">
      <c r="C55" s="53">
        <v>46286</v>
      </c>
      <c r="D55" s="47" t="s">
        <v>5</v>
      </c>
      <c r="E55" s="47" t="s">
        <v>94</v>
      </c>
      <c r="F55" s="48">
        <v>144.38</v>
      </c>
    </row>
    <row r="56" spans="3:6" x14ac:dyDescent="0.35">
      <c r="C56" s="53">
        <v>46287</v>
      </c>
      <c r="D56" s="47" t="s">
        <v>5</v>
      </c>
      <c r="E56" s="47" t="s">
        <v>93</v>
      </c>
      <c r="F56" s="48">
        <v>281.08</v>
      </c>
    </row>
    <row r="57" spans="3:6" x14ac:dyDescent="0.35">
      <c r="C57" s="53">
        <v>46287</v>
      </c>
      <c r="D57" s="47" t="s">
        <v>5</v>
      </c>
      <c r="E57" s="47" t="s">
        <v>94</v>
      </c>
      <c r="F57" s="48">
        <v>157.74</v>
      </c>
    </row>
    <row r="58" spans="3:6" x14ac:dyDescent="0.35">
      <c r="C58" s="53">
        <v>46288</v>
      </c>
      <c r="D58" s="47" t="s">
        <v>5</v>
      </c>
      <c r="E58" s="47" t="s">
        <v>93</v>
      </c>
      <c r="F58" s="48">
        <v>295.05</v>
      </c>
    </row>
    <row r="59" spans="3:6" x14ac:dyDescent="0.35">
      <c r="C59" s="53">
        <v>46288</v>
      </c>
      <c r="D59" s="47" t="s">
        <v>5</v>
      </c>
      <c r="E59" s="47" t="s">
        <v>94</v>
      </c>
      <c r="F59" s="48">
        <v>142.65</v>
      </c>
    </row>
    <row r="60" spans="3:6" x14ac:dyDescent="0.35">
      <c r="C60" s="53">
        <v>46289</v>
      </c>
      <c r="D60" s="47" t="s">
        <v>5</v>
      </c>
      <c r="E60" s="47" t="s">
        <v>93</v>
      </c>
      <c r="F60" s="48">
        <v>355.55</v>
      </c>
    </row>
    <row r="61" spans="3:6" x14ac:dyDescent="0.35">
      <c r="C61" s="53">
        <v>46289</v>
      </c>
      <c r="D61" s="47" t="s">
        <v>5</v>
      </c>
      <c r="E61" s="47" t="s">
        <v>94</v>
      </c>
      <c r="F61" s="48">
        <v>201.14</v>
      </c>
    </row>
  </sheetData>
  <mergeCells count="5">
    <mergeCell ref="M2:Q3"/>
    <mergeCell ref="I6:J6"/>
    <mergeCell ref="I7:J7"/>
    <mergeCell ref="I8:J8"/>
    <mergeCell ref="H9:Q9"/>
  </mergeCells>
  <conditionalFormatting sqref="C14:C10013">
    <cfRule type="expression" dxfId="59" priority="7">
      <formula>AND(C14&lt;&gt;"",NOT(ISNUMBER(C14)))</formula>
    </cfRule>
  </conditionalFormatting>
  <conditionalFormatting sqref="C14:F10013">
    <cfRule type="expression" dxfId="58" priority="6">
      <formula>OR(ROW()&lt;54,COUNTA($C14:$F14)&gt;0)</formula>
    </cfRule>
  </conditionalFormatting>
  <conditionalFormatting sqref="F8">
    <cfRule type="expression" dxfId="57" priority="5">
      <formula>$F$8&gt;0</formula>
    </cfRule>
  </conditionalFormatting>
  <conditionalFormatting sqref="F14:F10013">
    <cfRule type="expression" dxfId="56" priority="8">
      <formula>AND(F14&lt;&gt;"",NOT(ISNUMBER(F14)))</formula>
    </cfRule>
  </conditionalFormatting>
  <conditionalFormatting sqref="I7:J8">
    <cfRule type="expression" dxfId="55" priority="2">
      <formula>OR($I$8="Overpacing",$I$8="Underpacing",$I$8="Tab not found")</formula>
    </cfRule>
    <cfRule type="expression" dxfId="54" priority="3">
      <formula>OR($I$8="Slightly over",$I$8="Slightly under")</formula>
    </cfRule>
    <cfRule type="expression" dxfId="53" priority="4">
      <formula>$I$8="On pace"</formula>
    </cfRule>
  </conditionalFormatting>
  <conditionalFormatting sqref="N14:O38">
    <cfRule type="expression" dxfId="52" priority="9">
      <formula>OR($O14="Overpacing",$O14="Underpacing",$O14="Tab not found")</formula>
    </cfRule>
    <cfRule type="expression" dxfId="51" priority="10">
      <formula>OR($O14="Slightly over",$O14="Slightly under")</formula>
    </cfRule>
    <cfRule type="expression" dxfId="50" priority="11">
      <formula>$O14="On pace"</formula>
    </cfRule>
  </conditionalFormatting>
  <dataValidations count="3">
    <dataValidation type="custom" showInputMessage="1" promptTitle="Channel name" prompt="Must match this tab's name and the name in the Overview Channel column." sqref="D6" xr:uid="{00000000-0002-0000-0400-000000000000}">
      <formula1>1</formula1>
      <formula2>0</formula2>
    </dataValidation>
    <dataValidation type="date" operator="greaterThan" showErrorMessage="1" error="Enter a date" sqref="I14:J38" xr:uid="{00000000-0002-0000-0400-000001000000}">
      <formula1>1</formula1>
      <formula2>0</formula2>
    </dataValidation>
    <dataValidation type="decimal" operator="greaterThanOrEqual" showErrorMessage="1" error="Enter a number" sqref="K14:K38" xr:uid="{00000000-0002-0000-04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2:Q38"/>
  <sheetViews>
    <sheetView showGridLines="0" zoomScaleNormal="100" workbookViewId="0">
      <pane ySplit="13" topLeftCell="A14" activePane="bottomLeft" state="frozen"/>
      <selection pane="bottomLeft" activeCell="D7" sqref="D7"/>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Pinterest</v>
      </c>
      <c r="N2" s="14"/>
      <c r="O2" s="14"/>
      <c r="P2" s="14"/>
      <c r="Q2" s="14"/>
    </row>
    <row r="3" spans="3:17" x14ac:dyDescent="0.35">
      <c r="M3" s="14"/>
      <c r="N3" s="14"/>
      <c r="O3" s="14"/>
      <c r="P3" s="14"/>
      <c r="Q3" s="14"/>
    </row>
    <row r="6" spans="3:17" x14ac:dyDescent="0.35">
      <c r="C6" s="15" t="s">
        <v>71</v>
      </c>
      <c r="D6" s="49" t="s">
        <v>109</v>
      </c>
      <c r="E6" s="15" t="s">
        <v>72</v>
      </c>
      <c r="F6" s="50">
        <f>COUNTA($C$14:$C$10013)</f>
        <v>0</v>
      </c>
      <c r="H6" s="15" t="s">
        <v>73</v>
      </c>
      <c r="I6" s="3" t="str">
        <f ca="1">IFERROR(IF(INDEX(Overview!$H$18:$H$33,MATCH($D$6,Overview!$C$18:$C$33,0))="","",INDEX(Overview!$H$18:$H$33,MATCH($D$6,Overview!$C$18:$C$33,0))),"")</f>
        <v/>
      </c>
      <c r="J6" s="3"/>
    </row>
    <row r="7" spans="3:17" x14ac:dyDescent="0.35">
      <c r="C7" s="15" t="s">
        <v>26</v>
      </c>
      <c r="D7" s="18" t="str">
        <f>IFERROR(IF(INDEX(Overview!$D$18:$D$33,MATCH($D$6,Overview!$C$18:$C$33,0))="","",INDEX(Overview!$D$18:$D$33,MATCH($D$6,Overview!$C$18:$C$33,0))),"")</f>
        <v/>
      </c>
      <c r="E7" s="15" t="s">
        <v>74</v>
      </c>
      <c r="F7" s="51">
        <f>SUM($F$14:$F$10013)</f>
        <v>0</v>
      </c>
      <c r="H7" s="15" t="s">
        <v>31</v>
      </c>
      <c r="I7" s="2" t="str">
        <f ca="1">IFERROR(IF(INDEX(Overview!$K$18:$K$33,MATCH($D$6,Overview!$C$18:$C$33,0))="","",INDEX(Overview!$K$18:$K$33,MATCH($D$6,Overview!$C$18:$C$33,0))),"")</f>
        <v/>
      </c>
      <c r="J7" s="2"/>
    </row>
    <row r="8" spans="3:17" x14ac:dyDescent="0.35">
      <c r="C8" s="15" t="s">
        <v>27</v>
      </c>
      <c r="D8" s="18" t="str">
        <f>IFERROR(IF(INDEX(Overview!$E$18:$E$33,MATCH($D$6,Overview!$C$18:$C$33,0))="","",INDEX(Overview!$E$18:$E$33,MATCH($D$6,Overview!$C$18:$C$33,0))),"")</f>
        <v/>
      </c>
      <c r="E8" s="15" t="s">
        <v>75</v>
      </c>
      <c r="F8" s="50">
        <f>(COUNTA($C$14:$C$10013)-COUNT($C$14:$C$10013))+(COUNTA($F$14:$F$10013)-COUNT($F$14:$F$10013))</f>
        <v>0</v>
      </c>
      <c r="H8" s="15" t="s">
        <v>22</v>
      </c>
      <c r="I8" s="1" t="str">
        <f ca="1">IFERROR(IF(INDEX(Overview!$L$18:$L$33,MATCH($D$6,Overview!$C$18:$C$33,0))="","",INDEX(Overview!$L$18:$L$33,MATCH($D$6,Overview!$C$18:$C$33,0))),"")</f>
        <v/>
      </c>
      <c r="J8" s="1"/>
    </row>
    <row r="9" spans="3:17" x14ac:dyDescent="0.35">
      <c r="C9" s="15" t="s">
        <v>76</v>
      </c>
      <c r="D9" s="52" t="str">
        <f>IFERROR(IF(INDEX(Overview!$F$18:$F$33,MATCH($D$6,Overview!$C$18:$C$33,0))="","",INDEX(Overview!$F$18:$F$33,MATCH($D$6,Overview!$C$18:$C$33,0))),"")</f>
        <v/>
      </c>
      <c r="E9" s="15" t="s">
        <v>77</v>
      </c>
      <c r="F9" s="50" t="str">
        <f>IF(OR($D$7="",$D$8=""),"",COUNT($C$14:$C$10013)-COUNTIFS($C$14:$C$10013,"&gt;="&amp;$D$7,$C$14:$C$10013,"&lt;="&amp;$D$8))</f>
        <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82</v>
      </c>
      <c r="E13" s="20" t="s">
        <v>95</v>
      </c>
      <c r="F13" s="20" t="s">
        <v>84</v>
      </c>
      <c r="H13" s="20" t="s">
        <v>85</v>
      </c>
      <c r="I13" s="20" t="s">
        <v>26</v>
      </c>
      <c r="J13" s="20" t="s">
        <v>27</v>
      </c>
      <c r="K13" s="20" t="s">
        <v>76</v>
      </c>
      <c r="L13" s="20" t="s">
        <v>29</v>
      </c>
      <c r="M13" s="20" t="s">
        <v>15</v>
      </c>
      <c r="N13" s="20" t="s">
        <v>31</v>
      </c>
      <c r="O13" s="20" t="s">
        <v>22</v>
      </c>
      <c r="P13" s="20" t="s">
        <v>20</v>
      </c>
      <c r="Q13" s="20" t="s">
        <v>35</v>
      </c>
    </row>
    <row r="14" spans="3:17" x14ac:dyDescent="0.35">
      <c r="H14" s="54"/>
      <c r="I14" s="23" t="str">
        <f t="shared" ref="I14:I38" si="0">IF(OR(H14="",$D$7=""),"",$D$7)</f>
        <v/>
      </c>
      <c r="J14" s="23" t="str">
        <f t="shared" ref="J14:J38" si="1">IF(OR(H14="",$D$8=""),"",$D$8)</f>
        <v/>
      </c>
      <c r="K14" s="24"/>
      <c r="L14" s="25" t="str">
        <f t="shared" ref="L14:L38" si="2">IF(OR(H14="",I14="",J14=""),"",SUMIFS($F$14:$F$10013,$E$14:$E$10013,H14,$C$14:$C$10013,"&gt;="&amp;I14,$C$14:$C$10013,"&lt;="&amp;J14))</f>
        <v/>
      </c>
      <c r="M14" s="18" t="str">
        <f t="shared" ref="M14:M38" si="3">IF(L14="","",IF(COUNTIFS($E$14:$E$10013,H14,$C$14:$C$10013,"&gt;="&amp;I14,$C$14:$C$10013,"&lt;="&amp;J14)=0,"",_xlfn.MAXIFS($C$14:$C$10013,$E$14:$E$10013,H14,$C$14:$C$10013,"&gt;="&amp;I14,$C$14:$C$10013,"&lt;="&amp;J14)))</f>
        <v/>
      </c>
      <c r="N14" s="26" t="str">
        <f t="shared" ref="N14:N38" si="4">IF(OR(M14="",K14="",K14=0),"",(L14/K14)/((M14-I14+1)/(J14-I14+1)))</f>
        <v/>
      </c>
      <c r="O14" s="27" t="str">
        <f>IF(N14="","",IF(N14-1&gt;Overview!$G$7,"Overpacing",IF(1-N14&gt;Overview!$G$7,"Underpacing",IF(N14-1&gt;Overview!$G$6,"Slightly over",IF(1-N14&gt;Overview!$G$6,"Slightly under","On pace")))))</f>
        <v/>
      </c>
      <c r="P14" s="25" t="str">
        <f t="shared" ref="P14:P38" si="5">IF(OR(L14="",K14=""),"",K14-L14)</f>
        <v/>
      </c>
      <c r="Q14" s="25" t="str">
        <f t="shared" ref="Q14:Q38" si="6">IF(P14="","",IF(M14="",MAX(0,P14)/(J14-I14+1),IF(J14-M14&lt;=0,"",MAX(0,P14)/(J14-M14))))</f>
        <v/>
      </c>
    </row>
    <row r="15" spans="3:17" x14ac:dyDescent="0.35">
      <c r="H15" s="54"/>
      <c r="I15" s="23" t="str">
        <f t="shared" si="0"/>
        <v/>
      </c>
      <c r="J15" s="23" t="str">
        <f t="shared" si="1"/>
        <v/>
      </c>
      <c r="K15" s="24"/>
      <c r="L15" s="25" t="str">
        <f t="shared" si="2"/>
        <v/>
      </c>
      <c r="M15" s="18" t="str">
        <f t="shared" si="3"/>
        <v/>
      </c>
      <c r="N15" s="26" t="str">
        <f t="shared" si="4"/>
        <v/>
      </c>
      <c r="O15" s="27" t="str">
        <f>IF(N15="","",IF(N15-1&gt;Overview!$G$7,"Overpacing",IF(1-N15&gt;Overview!$G$7,"Underpacing",IF(N15-1&gt;Overview!$G$6,"Slightly over",IF(1-N15&gt;Overview!$G$6,"Slightly under","On pace")))))</f>
        <v/>
      </c>
      <c r="P15" s="25" t="str">
        <f t="shared" si="5"/>
        <v/>
      </c>
      <c r="Q15" s="25" t="str">
        <f t="shared" si="6"/>
        <v/>
      </c>
    </row>
    <row r="16" spans="3:17" x14ac:dyDescent="0.35">
      <c r="H16" s="54"/>
      <c r="I16" s="23" t="str">
        <f t="shared" si="0"/>
        <v/>
      </c>
      <c r="J16" s="23" t="str">
        <f t="shared" si="1"/>
        <v/>
      </c>
      <c r="K16" s="24"/>
      <c r="L16" s="25" t="str">
        <f t="shared" si="2"/>
        <v/>
      </c>
      <c r="M16" s="18" t="str">
        <f t="shared" si="3"/>
        <v/>
      </c>
      <c r="N16" s="26" t="str">
        <f t="shared" si="4"/>
        <v/>
      </c>
      <c r="O16" s="27" t="str">
        <f>IF(N16="","",IF(N16-1&gt;Overview!$G$7,"Overpacing",IF(1-N16&gt;Overview!$G$7,"Underpacing",IF(N16-1&gt;Overview!$G$6,"Slightly over",IF(1-N16&gt;Overview!$G$6,"Slightly under","On pace")))))</f>
        <v/>
      </c>
      <c r="P16" s="25" t="str">
        <f t="shared" si="5"/>
        <v/>
      </c>
      <c r="Q16" s="25" t="str">
        <f t="shared" si="6"/>
        <v/>
      </c>
    </row>
    <row r="17" spans="8:17" x14ac:dyDescent="0.35">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8:17" x14ac:dyDescent="0.35">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8:17" x14ac:dyDescent="0.35">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8:17" x14ac:dyDescent="0.35">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8:17" x14ac:dyDescent="0.35">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8:17" x14ac:dyDescent="0.35">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8:17" x14ac:dyDescent="0.35">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8:17" x14ac:dyDescent="0.35">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8:17" x14ac:dyDescent="0.35">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8:17" x14ac:dyDescent="0.35">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8:17" x14ac:dyDescent="0.35">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8:17" x14ac:dyDescent="0.35">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8:17" x14ac:dyDescent="0.35">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8:17" x14ac:dyDescent="0.35">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8:17" x14ac:dyDescent="0.35">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8:17" x14ac:dyDescent="0.35">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8:17" x14ac:dyDescent="0.35">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8:17" x14ac:dyDescent="0.35">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8:17" x14ac:dyDescent="0.35">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8:17" x14ac:dyDescent="0.35">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8:17" x14ac:dyDescent="0.35">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8:17" x14ac:dyDescent="0.35">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sheetData>
  <mergeCells count="5">
    <mergeCell ref="M2:Q3"/>
    <mergeCell ref="I6:J6"/>
    <mergeCell ref="I7:J7"/>
    <mergeCell ref="I8:J8"/>
    <mergeCell ref="H9:Q9"/>
  </mergeCells>
  <conditionalFormatting sqref="C14:C10013">
    <cfRule type="expression" dxfId="49" priority="7">
      <formula>AND(C14&lt;&gt;"",NOT(ISNUMBER(C14)))</formula>
    </cfRule>
  </conditionalFormatting>
  <conditionalFormatting sqref="C14:F10013">
    <cfRule type="expression" dxfId="48" priority="6">
      <formula>OR(ROW()&lt;54,COUNTA($C14:$F14)&gt;0)</formula>
    </cfRule>
  </conditionalFormatting>
  <conditionalFormatting sqref="F8">
    <cfRule type="expression" dxfId="47" priority="5">
      <formula>$F$8&gt;0</formula>
    </cfRule>
  </conditionalFormatting>
  <conditionalFormatting sqref="F14:F10013">
    <cfRule type="expression" dxfId="46" priority="8">
      <formula>AND(F14&lt;&gt;"",NOT(ISNUMBER(F14)))</formula>
    </cfRule>
  </conditionalFormatting>
  <conditionalFormatting sqref="I7:J8">
    <cfRule type="expression" dxfId="45" priority="2">
      <formula>OR($I$8="Overpacing",$I$8="Underpacing",$I$8="Tab not found")</formula>
    </cfRule>
    <cfRule type="expression" dxfId="44" priority="3">
      <formula>OR($I$8="Slightly over",$I$8="Slightly under")</formula>
    </cfRule>
    <cfRule type="expression" dxfId="43" priority="4">
      <formula>$I$8="On pace"</formula>
    </cfRule>
  </conditionalFormatting>
  <conditionalFormatting sqref="N14:O38">
    <cfRule type="expression" dxfId="42" priority="9">
      <formula>OR($O14="Overpacing",$O14="Underpacing",$O14="Tab not found")</formula>
    </cfRule>
    <cfRule type="expression" dxfId="41" priority="10">
      <formula>OR($O14="Slightly over",$O14="Slightly under")</formula>
    </cfRule>
    <cfRule type="expression" dxfId="40" priority="11">
      <formula>$O14="On pace"</formula>
    </cfRule>
  </conditionalFormatting>
  <dataValidations count="3">
    <dataValidation type="custom" showInputMessage="1" promptTitle="Channel name" prompt="Must match this tab's name and the name in the Overview Channel column." sqref="D6" xr:uid="{00000000-0002-0000-0500-000000000000}">
      <formula1>1</formula1>
      <formula2>0</formula2>
    </dataValidation>
    <dataValidation type="date" operator="greaterThan" showErrorMessage="1" error="Enter a date" sqref="I14:J38" xr:uid="{00000000-0002-0000-0500-000001000000}">
      <formula1>1</formula1>
      <formula2>0</formula2>
    </dataValidation>
    <dataValidation type="decimal" operator="greaterThanOrEqual" showErrorMessage="1" error="Enter a number" sqref="K14:K38" xr:uid="{00000000-0002-0000-05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2:Q85"/>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Google Ads</v>
      </c>
      <c r="N2" s="14"/>
      <c r="O2" s="14"/>
      <c r="P2" s="14"/>
      <c r="Q2" s="14"/>
    </row>
    <row r="3" spans="3:17" x14ac:dyDescent="0.35">
      <c r="M3" s="14"/>
      <c r="N3" s="14"/>
      <c r="O3" s="14"/>
      <c r="P3" s="14"/>
      <c r="Q3" s="14"/>
    </row>
    <row r="6" spans="3:17" x14ac:dyDescent="0.35">
      <c r="C6" s="15" t="s">
        <v>71</v>
      </c>
      <c r="D6" s="49" t="s">
        <v>43</v>
      </c>
      <c r="E6" s="15" t="s">
        <v>72</v>
      </c>
      <c r="F6" s="50">
        <f>COUNTA($C$14:$C$10013)</f>
        <v>72</v>
      </c>
      <c r="H6" s="15" t="s">
        <v>73</v>
      </c>
      <c r="I6" s="3">
        <f ca="1">IFERROR(IF(INDEX(Overview!$H$18:$H$33,MATCH($D$6,Overview!$C$18:$C$33,0))="","",INDEX(Overview!$H$18:$H$33,MATCH($D$6,Overview!$C$18:$C$33,0))),"")</f>
        <v>49604.140000000014</v>
      </c>
      <c r="J6" s="3"/>
    </row>
    <row r="7" spans="3:17" x14ac:dyDescent="0.35">
      <c r="C7" s="15" t="s">
        <v>26</v>
      </c>
      <c r="D7" s="18">
        <f>IFERROR(IF(INDEX(Overview!$D$18:$D$33,MATCH($D$6,Overview!$C$18:$C$33,0))="","",INDEX(Overview!$D$18:$D$33,MATCH($D$6,Overview!$C$18:$C$33,0))),"")</f>
        <v>46266</v>
      </c>
      <c r="E7" s="15" t="s">
        <v>74</v>
      </c>
      <c r="F7" s="51">
        <f>SUM($F$14:$F$10013)</f>
        <v>49604.140000000014</v>
      </c>
      <c r="H7" s="15" t="s">
        <v>31</v>
      </c>
      <c r="I7" s="2">
        <f ca="1">IFERROR(IF(INDEX(Overview!$K$18:$K$33,MATCH($D$6,Overview!$C$18:$C$33,0))="","",INDEX(Overview!$K$18:$K$33,MATCH($D$6,Overview!$C$18:$C$33,0))),"")</f>
        <v>1.0334195833333337</v>
      </c>
      <c r="J7" s="2"/>
    </row>
    <row r="8" spans="3:17" x14ac:dyDescent="0.35">
      <c r="C8" s="15" t="s">
        <v>27</v>
      </c>
      <c r="D8" s="18">
        <f>IFERROR(IF(INDEX(Overview!$E$18:$E$33,MATCH($D$6,Overview!$C$18:$C$33,0))="","",INDEX(Overview!$E$18:$E$33,MATCH($D$6,Overview!$C$18:$C$33,0))),"")</f>
        <v>46295</v>
      </c>
      <c r="E8" s="15" t="s">
        <v>75</v>
      </c>
      <c r="F8" s="50">
        <f>(COUNTA($C$14:$C$10013)-COUNT($C$14:$C$10013))+(COUNTA($F$14:$F$10013)-COUNT($F$14:$F$10013))</f>
        <v>0</v>
      </c>
      <c r="H8" s="15" t="s">
        <v>22</v>
      </c>
      <c r="I8" s="1" t="str">
        <f ca="1">IFERROR(IF(INDEX(Overview!$L$18:$L$33,MATCH($D$6,Overview!$C$18:$C$33,0))="","",INDEX(Overview!$L$18:$L$33,MATCH($D$6,Overview!$C$18:$C$33,0))),"")</f>
        <v>On pace</v>
      </c>
      <c r="J8" s="1"/>
    </row>
    <row r="9" spans="3:17" x14ac:dyDescent="0.35">
      <c r="C9" s="15" t="s">
        <v>76</v>
      </c>
      <c r="D9" s="52">
        <f>IFERROR(IF(INDEX(Overview!$F$18:$F$33,MATCH($D$6,Overview!$C$18:$C$33,0))="","",INDEX(Overview!$F$18:$F$33,MATCH($D$6,Overview!$C$18:$C$33,0))),"")</f>
        <v>60000</v>
      </c>
      <c r="E9" s="15" t="s">
        <v>77</v>
      </c>
      <c r="F9" s="50">
        <f>IF(OR($D$7="",$D$8=""),"",COUNT($C$14:$C$10013)-COUNTIFS($C$14:$C$10013,"&gt;="&amp;$D$7,$C$14:$C$10013,"&lt;="&amp;$D$8))</f>
        <v>0</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96</v>
      </c>
      <c r="E13" s="20" t="s">
        <v>92</v>
      </c>
      <c r="F13" s="20" t="s">
        <v>84</v>
      </c>
      <c r="H13" s="20" t="s">
        <v>85</v>
      </c>
      <c r="I13" s="20" t="s">
        <v>26</v>
      </c>
      <c r="J13" s="20" t="s">
        <v>27</v>
      </c>
      <c r="K13" s="20" t="s">
        <v>76</v>
      </c>
      <c r="L13" s="20" t="s">
        <v>29</v>
      </c>
      <c r="M13" s="20" t="s">
        <v>15</v>
      </c>
      <c r="N13" s="20" t="s">
        <v>31</v>
      </c>
      <c r="O13" s="20" t="s">
        <v>22</v>
      </c>
      <c r="P13" s="20" t="s">
        <v>20</v>
      </c>
      <c r="Q13" s="20" t="s">
        <v>35</v>
      </c>
    </row>
    <row r="14" spans="3:17" x14ac:dyDescent="0.35">
      <c r="C14" s="53">
        <v>46266</v>
      </c>
      <c r="D14" s="47" t="s">
        <v>97</v>
      </c>
      <c r="E14" s="47" t="s">
        <v>98</v>
      </c>
      <c r="F14" s="48">
        <v>503.06</v>
      </c>
      <c r="H14" s="54" t="s">
        <v>98</v>
      </c>
      <c r="I14" s="23">
        <f t="shared" ref="I14:I38" si="0">IF(OR(H14="",$D$7=""),"",$D$7)</f>
        <v>46266</v>
      </c>
      <c r="J14" s="23">
        <f t="shared" ref="J14:J38" si="1">IF(OR(H14="",$D$8=""),"",$D$8)</f>
        <v>46295</v>
      </c>
      <c r="K14" s="24">
        <v>15000</v>
      </c>
      <c r="L14" s="25">
        <f t="shared" ref="L14:L38" si="2">IF(OR(H14="",I14="",J14=""),"",SUMIFS($F$14:$F$10013,$E$14:$E$10013,H14,$C$14:$C$10013,"&gt;="&amp;I14,$C$14:$C$10013,"&lt;="&amp;J14))</f>
        <v>12942.529999999999</v>
      </c>
      <c r="M14" s="18">
        <f t="shared" ref="M14:M38" si="3">IF(L14="","",IF(COUNTIFS($E$14:$E$10013,H14,$C$14:$C$10013,"&gt;="&amp;I14,$C$14:$C$10013,"&lt;="&amp;J14)=0,"",_xlfn.MAXIFS($C$14:$C$10013,$E$14:$E$10013,H14,$C$14:$C$10013,"&gt;="&amp;I14,$C$14:$C$10013,"&lt;="&amp;J14)))</f>
        <v>46289</v>
      </c>
      <c r="N14" s="26">
        <f t="shared" ref="N14:N38" si="4">IF(OR(M14="",K14="",K14=0),"",(L14/K14)/((M14-I14+1)/(J14-I14+1)))</f>
        <v>1.0785441666666666</v>
      </c>
      <c r="O14" s="27" t="str">
        <f>IF(N14="","",IF(N14-1&gt;Overview!$G$7,"Overpacing",IF(1-N14&gt;Overview!$G$7,"Underpacing",IF(N14-1&gt;Overview!$G$6,"Slightly over",IF(1-N14&gt;Overview!$G$6,"Slightly under","On pace")))))</f>
        <v>On pace</v>
      </c>
      <c r="P14" s="25">
        <f t="shared" ref="P14:P38" si="5">IF(OR(L14="",K14=""),"",K14-L14)</f>
        <v>2057.4700000000012</v>
      </c>
      <c r="Q14" s="25">
        <f t="shared" ref="Q14:Q38" si="6">IF(P14="","",IF(M14="",MAX(0,P14)/(J14-I14+1),IF(J14-M14&lt;=0,"",MAX(0,P14)/(J14-M14))))</f>
        <v>342.91166666666686</v>
      </c>
    </row>
    <row r="15" spans="3:17" x14ac:dyDescent="0.35">
      <c r="C15" s="53">
        <v>46266</v>
      </c>
      <c r="D15" s="47" t="s">
        <v>97</v>
      </c>
      <c r="E15" s="47" t="s">
        <v>99</v>
      </c>
      <c r="F15" s="48">
        <v>1114.74</v>
      </c>
      <c r="H15" s="54" t="s">
        <v>99</v>
      </c>
      <c r="I15" s="23">
        <f t="shared" si="0"/>
        <v>46266</v>
      </c>
      <c r="J15" s="23">
        <f t="shared" si="1"/>
        <v>46295</v>
      </c>
      <c r="K15" s="24">
        <v>33000</v>
      </c>
      <c r="L15" s="25">
        <f t="shared" si="2"/>
        <v>27200.299999999996</v>
      </c>
      <c r="M15" s="18">
        <f t="shared" si="3"/>
        <v>46289</v>
      </c>
      <c r="N15" s="26">
        <f t="shared" si="4"/>
        <v>1.0303143939393937</v>
      </c>
      <c r="O15" s="27" t="str">
        <f>IF(N15="","",IF(N15-1&gt;Overview!$G$7,"Overpacing",IF(1-N15&gt;Overview!$G$7,"Underpacing",IF(N15-1&gt;Overview!$G$6,"Slightly over",IF(1-N15&gt;Overview!$G$6,"Slightly under","On pace")))))</f>
        <v>On pace</v>
      </c>
      <c r="P15" s="25">
        <f t="shared" si="5"/>
        <v>5799.7000000000044</v>
      </c>
      <c r="Q15" s="25">
        <f t="shared" si="6"/>
        <v>966.61666666666736</v>
      </c>
    </row>
    <row r="16" spans="3:17" x14ac:dyDescent="0.35">
      <c r="C16" s="53">
        <v>46266</v>
      </c>
      <c r="D16" s="47" t="s">
        <v>97</v>
      </c>
      <c r="E16" s="47" t="s">
        <v>100</v>
      </c>
      <c r="F16" s="48">
        <v>340.42</v>
      </c>
      <c r="H16" s="54" t="s">
        <v>100</v>
      </c>
      <c r="I16" s="23">
        <f t="shared" si="0"/>
        <v>46266</v>
      </c>
      <c r="J16" s="23">
        <f t="shared" si="1"/>
        <v>46295</v>
      </c>
      <c r="K16" s="24">
        <v>12000</v>
      </c>
      <c r="L16" s="25">
        <f t="shared" si="2"/>
        <v>9461.31</v>
      </c>
      <c r="M16" s="18">
        <f t="shared" si="3"/>
        <v>46289</v>
      </c>
      <c r="N16" s="26">
        <f t="shared" si="4"/>
        <v>0.98555312499999992</v>
      </c>
      <c r="O16" s="27" t="str">
        <f>IF(N16="","",IF(N16-1&gt;Overview!$G$7,"Overpacing",IF(1-N16&gt;Overview!$G$7,"Underpacing",IF(N16-1&gt;Overview!$G$6,"Slightly over",IF(1-N16&gt;Overview!$G$6,"Slightly under","On pace")))))</f>
        <v>On pace</v>
      </c>
      <c r="P16" s="25">
        <f t="shared" si="5"/>
        <v>2538.6900000000005</v>
      </c>
      <c r="Q16" s="25">
        <f t="shared" si="6"/>
        <v>423.11500000000007</v>
      </c>
    </row>
    <row r="17" spans="3:17" x14ac:dyDescent="0.35">
      <c r="C17" s="53">
        <v>46267</v>
      </c>
      <c r="D17" s="47" t="s">
        <v>97</v>
      </c>
      <c r="E17" s="47" t="s">
        <v>98</v>
      </c>
      <c r="F17" s="48">
        <v>428.85</v>
      </c>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3:17" x14ac:dyDescent="0.35">
      <c r="C18" s="53">
        <v>46267</v>
      </c>
      <c r="D18" s="47" t="s">
        <v>97</v>
      </c>
      <c r="E18" s="47" t="s">
        <v>99</v>
      </c>
      <c r="F18" s="48">
        <v>1051.3699999999999</v>
      </c>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3:17" x14ac:dyDescent="0.35">
      <c r="C19" s="53">
        <v>46267</v>
      </c>
      <c r="D19" s="47" t="s">
        <v>97</v>
      </c>
      <c r="E19" s="47" t="s">
        <v>100</v>
      </c>
      <c r="F19" s="48">
        <v>369.61</v>
      </c>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3:17" x14ac:dyDescent="0.35">
      <c r="C20" s="53">
        <v>46268</v>
      </c>
      <c r="D20" s="47" t="s">
        <v>97</v>
      </c>
      <c r="E20" s="47" t="s">
        <v>98</v>
      </c>
      <c r="F20" s="48">
        <v>577.09</v>
      </c>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3:17" x14ac:dyDescent="0.35">
      <c r="C21" s="53">
        <v>46268</v>
      </c>
      <c r="D21" s="47" t="s">
        <v>97</v>
      </c>
      <c r="E21" s="47" t="s">
        <v>99</v>
      </c>
      <c r="F21" s="48">
        <v>970.05</v>
      </c>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3:17" x14ac:dyDescent="0.35">
      <c r="C22" s="53">
        <v>46268</v>
      </c>
      <c r="D22" s="47" t="s">
        <v>97</v>
      </c>
      <c r="E22" s="47" t="s">
        <v>100</v>
      </c>
      <c r="F22" s="48">
        <v>330.17</v>
      </c>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3:17" x14ac:dyDescent="0.35">
      <c r="C23" s="53">
        <v>46269</v>
      </c>
      <c r="D23" s="47" t="s">
        <v>97</v>
      </c>
      <c r="E23" s="47" t="s">
        <v>98</v>
      </c>
      <c r="F23" s="48">
        <v>602</v>
      </c>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3:17" x14ac:dyDescent="0.35">
      <c r="C24" s="53">
        <v>46269</v>
      </c>
      <c r="D24" s="47" t="s">
        <v>97</v>
      </c>
      <c r="E24" s="47" t="s">
        <v>99</v>
      </c>
      <c r="F24" s="48">
        <v>1134.68</v>
      </c>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3:17" x14ac:dyDescent="0.35">
      <c r="C25" s="53">
        <v>46269</v>
      </c>
      <c r="D25" s="47" t="s">
        <v>97</v>
      </c>
      <c r="E25" s="47" t="s">
        <v>100</v>
      </c>
      <c r="F25" s="48">
        <v>350.33</v>
      </c>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3:17" x14ac:dyDescent="0.35">
      <c r="C26" s="53">
        <v>46270</v>
      </c>
      <c r="D26" s="47" t="s">
        <v>97</v>
      </c>
      <c r="E26" s="47" t="s">
        <v>98</v>
      </c>
      <c r="F26" s="48">
        <v>518.80999999999995</v>
      </c>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3:17" x14ac:dyDescent="0.35">
      <c r="C27" s="53">
        <v>46270</v>
      </c>
      <c r="D27" s="47" t="s">
        <v>97</v>
      </c>
      <c r="E27" s="47" t="s">
        <v>99</v>
      </c>
      <c r="F27" s="48">
        <v>909.74</v>
      </c>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3:17" x14ac:dyDescent="0.35">
      <c r="C28" s="53">
        <v>46270</v>
      </c>
      <c r="D28" s="47" t="s">
        <v>97</v>
      </c>
      <c r="E28" s="47" t="s">
        <v>100</v>
      </c>
      <c r="F28" s="48">
        <v>412.59</v>
      </c>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3:17" x14ac:dyDescent="0.35">
      <c r="C29" s="53">
        <v>46271</v>
      </c>
      <c r="D29" s="47" t="s">
        <v>97</v>
      </c>
      <c r="E29" s="47" t="s">
        <v>98</v>
      </c>
      <c r="F29" s="48">
        <v>607.61</v>
      </c>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3:17" x14ac:dyDescent="0.35">
      <c r="C30" s="53">
        <v>46271</v>
      </c>
      <c r="D30" s="47" t="s">
        <v>97</v>
      </c>
      <c r="E30" s="47" t="s">
        <v>99</v>
      </c>
      <c r="F30" s="48">
        <v>1285.06</v>
      </c>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3:17" x14ac:dyDescent="0.35">
      <c r="C31" s="53">
        <v>46271</v>
      </c>
      <c r="D31" s="47" t="s">
        <v>97</v>
      </c>
      <c r="E31" s="47" t="s">
        <v>100</v>
      </c>
      <c r="F31" s="48">
        <v>440.02</v>
      </c>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3:17" x14ac:dyDescent="0.35">
      <c r="C32" s="53">
        <v>46272</v>
      </c>
      <c r="D32" s="47" t="s">
        <v>97</v>
      </c>
      <c r="E32" s="47" t="s">
        <v>98</v>
      </c>
      <c r="F32" s="48">
        <v>461.27</v>
      </c>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3:17" x14ac:dyDescent="0.35">
      <c r="C33" s="53">
        <v>46272</v>
      </c>
      <c r="D33" s="47" t="s">
        <v>97</v>
      </c>
      <c r="E33" s="47" t="s">
        <v>99</v>
      </c>
      <c r="F33" s="48">
        <v>1062.17</v>
      </c>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3:17" x14ac:dyDescent="0.35">
      <c r="C34" s="53">
        <v>46272</v>
      </c>
      <c r="D34" s="47" t="s">
        <v>97</v>
      </c>
      <c r="E34" s="47" t="s">
        <v>100</v>
      </c>
      <c r="F34" s="48">
        <v>353.66</v>
      </c>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3:17" x14ac:dyDescent="0.35">
      <c r="C35" s="53">
        <v>46273</v>
      </c>
      <c r="D35" s="47" t="s">
        <v>97</v>
      </c>
      <c r="E35" s="47" t="s">
        <v>98</v>
      </c>
      <c r="F35" s="48">
        <v>565.48</v>
      </c>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3:17" x14ac:dyDescent="0.35">
      <c r="C36" s="53">
        <v>46273</v>
      </c>
      <c r="D36" s="47" t="s">
        <v>97</v>
      </c>
      <c r="E36" s="47" t="s">
        <v>99</v>
      </c>
      <c r="F36" s="48">
        <v>1136.6300000000001</v>
      </c>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3:17" x14ac:dyDescent="0.35">
      <c r="C37" s="53">
        <v>46273</v>
      </c>
      <c r="D37" s="47" t="s">
        <v>97</v>
      </c>
      <c r="E37" s="47" t="s">
        <v>100</v>
      </c>
      <c r="F37" s="48">
        <v>453.54</v>
      </c>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3:17" x14ac:dyDescent="0.35">
      <c r="C38" s="53">
        <v>46274</v>
      </c>
      <c r="D38" s="47" t="s">
        <v>97</v>
      </c>
      <c r="E38" s="47" t="s">
        <v>98</v>
      </c>
      <c r="F38" s="48">
        <v>475.25</v>
      </c>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row r="39" spans="3:17" x14ac:dyDescent="0.35">
      <c r="C39" s="53">
        <v>46274</v>
      </c>
      <c r="D39" s="47" t="s">
        <v>97</v>
      </c>
      <c r="E39" s="47" t="s">
        <v>99</v>
      </c>
      <c r="F39" s="48">
        <v>997.7</v>
      </c>
    </row>
    <row r="40" spans="3:17" x14ac:dyDescent="0.35">
      <c r="C40" s="53">
        <v>46274</v>
      </c>
      <c r="D40" s="47" t="s">
        <v>97</v>
      </c>
      <c r="E40" s="47" t="s">
        <v>100</v>
      </c>
      <c r="F40" s="48">
        <v>458.84</v>
      </c>
    </row>
    <row r="41" spans="3:17" x14ac:dyDescent="0.35">
      <c r="C41" s="53">
        <v>46275</v>
      </c>
      <c r="D41" s="47" t="s">
        <v>97</v>
      </c>
      <c r="E41" s="47" t="s">
        <v>98</v>
      </c>
      <c r="F41" s="48">
        <v>608.91999999999996</v>
      </c>
    </row>
    <row r="42" spans="3:17" x14ac:dyDescent="0.35">
      <c r="C42" s="53">
        <v>46275</v>
      </c>
      <c r="D42" s="47" t="s">
        <v>97</v>
      </c>
      <c r="E42" s="47" t="s">
        <v>99</v>
      </c>
      <c r="F42" s="48">
        <v>1280.26</v>
      </c>
    </row>
    <row r="43" spans="3:17" x14ac:dyDescent="0.35">
      <c r="C43" s="53">
        <v>46275</v>
      </c>
      <c r="D43" s="47" t="s">
        <v>97</v>
      </c>
      <c r="E43" s="47" t="s">
        <v>100</v>
      </c>
      <c r="F43" s="48">
        <v>457.95</v>
      </c>
    </row>
    <row r="44" spans="3:17" x14ac:dyDescent="0.35">
      <c r="C44" s="53">
        <v>46276</v>
      </c>
      <c r="D44" s="47" t="s">
        <v>97</v>
      </c>
      <c r="E44" s="47" t="s">
        <v>98</v>
      </c>
      <c r="F44" s="48">
        <v>574.94000000000005</v>
      </c>
    </row>
    <row r="45" spans="3:17" x14ac:dyDescent="0.35">
      <c r="C45" s="53">
        <v>46276</v>
      </c>
      <c r="D45" s="47" t="s">
        <v>97</v>
      </c>
      <c r="E45" s="47" t="s">
        <v>99</v>
      </c>
      <c r="F45" s="48">
        <v>1229.6600000000001</v>
      </c>
    </row>
    <row r="46" spans="3:17" x14ac:dyDescent="0.35">
      <c r="C46" s="53">
        <v>46276</v>
      </c>
      <c r="D46" s="47" t="s">
        <v>97</v>
      </c>
      <c r="E46" s="47" t="s">
        <v>100</v>
      </c>
      <c r="F46" s="48">
        <v>363.4</v>
      </c>
    </row>
    <row r="47" spans="3:17" x14ac:dyDescent="0.35">
      <c r="C47" s="53">
        <v>46277</v>
      </c>
      <c r="D47" s="47" t="s">
        <v>97</v>
      </c>
      <c r="E47" s="47" t="s">
        <v>98</v>
      </c>
      <c r="F47" s="48">
        <v>513.6</v>
      </c>
    </row>
    <row r="48" spans="3:17" x14ac:dyDescent="0.35">
      <c r="C48" s="53">
        <v>46277</v>
      </c>
      <c r="D48" s="47" t="s">
        <v>97</v>
      </c>
      <c r="E48" s="47" t="s">
        <v>99</v>
      </c>
      <c r="F48" s="48">
        <v>1057.18</v>
      </c>
    </row>
    <row r="49" spans="3:6" x14ac:dyDescent="0.35">
      <c r="C49" s="53">
        <v>46277</v>
      </c>
      <c r="D49" s="47" t="s">
        <v>97</v>
      </c>
      <c r="E49" s="47" t="s">
        <v>100</v>
      </c>
      <c r="F49" s="48">
        <v>331.13</v>
      </c>
    </row>
    <row r="50" spans="3:6" x14ac:dyDescent="0.35">
      <c r="C50" s="53">
        <v>46278</v>
      </c>
      <c r="D50" s="47" t="s">
        <v>97</v>
      </c>
      <c r="E50" s="47" t="s">
        <v>98</v>
      </c>
      <c r="F50" s="48">
        <v>413.7</v>
      </c>
    </row>
    <row r="51" spans="3:6" x14ac:dyDescent="0.35">
      <c r="C51" s="53">
        <v>46278</v>
      </c>
      <c r="D51" s="47" t="s">
        <v>97</v>
      </c>
      <c r="E51" s="47" t="s">
        <v>99</v>
      </c>
      <c r="F51" s="48">
        <v>1023</v>
      </c>
    </row>
    <row r="52" spans="3:6" x14ac:dyDescent="0.35">
      <c r="C52" s="53">
        <v>46278</v>
      </c>
      <c r="D52" s="47" t="s">
        <v>97</v>
      </c>
      <c r="E52" s="47" t="s">
        <v>100</v>
      </c>
      <c r="F52" s="48">
        <v>368.7</v>
      </c>
    </row>
    <row r="53" spans="3:6" x14ac:dyDescent="0.35">
      <c r="C53" s="53">
        <v>46279</v>
      </c>
      <c r="D53" s="47" t="s">
        <v>97</v>
      </c>
      <c r="E53" s="47" t="s">
        <v>98</v>
      </c>
      <c r="F53" s="48">
        <v>549.27</v>
      </c>
    </row>
    <row r="54" spans="3:6" x14ac:dyDescent="0.35">
      <c r="C54" s="53">
        <v>46279</v>
      </c>
      <c r="D54" s="47" t="s">
        <v>97</v>
      </c>
      <c r="E54" s="47" t="s">
        <v>99</v>
      </c>
      <c r="F54" s="48">
        <v>1326.88</v>
      </c>
    </row>
    <row r="55" spans="3:6" x14ac:dyDescent="0.35">
      <c r="C55" s="53">
        <v>46279</v>
      </c>
      <c r="D55" s="47" t="s">
        <v>97</v>
      </c>
      <c r="E55" s="47" t="s">
        <v>100</v>
      </c>
      <c r="F55" s="48">
        <v>399.39</v>
      </c>
    </row>
    <row r="56" spans="3:6" x14ac:dyDescent="0.35">
      <c r="C56" s="53">
        <v>46280</v>
      </c>
      <c r="D56" s="47" t="s">
        <v>97</v>
      </c>
      <c r="E56" s="47" t="s">
        <v>98</v>
      </c>
      <c r="F56" s="48">
        <v>599.15</v>
      </c>
    </row>
    <row r="57" spans="3:6" x14ac:dyDescent="0.35">
      <c r="C57" s="53">
        <v>46280</v>
      </c>
      <c r="D57" s="47" t="s">
        <v>97</v>
      </c>
      <c r="E57" s="47" t="s">
        <v>99</v>
      </c>
      <c r="F57" s="48">
        <v>1341.03</v>
      </c>
    </row>
    <row r="58" spans="3:6" x14ac:dyDescent="0.35">
      <c r="C58" s="53">
        <v>46280</v>
      </c>
      <c r="D58" s="47" t="s">
        <v>97</v>
      </c>
      <c r="E58" s="47" t="s">
        <v>100</v>
      </c>
      <c r="F58" s="48">
        <v>482.26</v>
      </c>
    </row>
    <row r="59" spans="3:6" x14ac:dyDescent="0.35">
      <c r="C59" s="53">
        <v>46281</v>
      </c>
      <c r="D59" s="47" t="s">
        <v>97</v>
      </c>
      <c r="E59" s="47" t="s">
        <v>98</v>
      </c>
      <c r="F59" s="48">
        <v>482.39</v>
      </c>
    </row>
    <row r="60" spans="3:6" x14ac:dyDescent="0.35">
      <c r="C60" s="53">
        <v>46281</v>
      </c>
      <c r="D60" s="47" t="s">
        <v>97</v>
      </c>
      <c r="E60" s="47" t="s">
        <v>99</v>
      </c>
      <c r="F60" s="48">
        <v>996.54</v>
      </c>
    </row>
    <row r="61" spans="3:6" x14ac:dyDescent="0.35">
      <c r="C61" s="53">
        <v>46281</v>
      </c>
      <c r="D61" s="47" t="s">
        <v>97</v>
      </c>
      <c r="E61" s="47" t="s">
        <v>100</v>
      </c>
      <c r="F61" s="48">
        <v>363.42</v>
      </c>
    </row>
    <row r="62" spans="3:6" x14ac:dyDescent="0.35">
      <c r="C62" s="53">
        <v>46282</v>
      </c>
      <c r="D62" s="47" t="s">
        <v>97</v>
      </c>
      <c r="E62" s="47" t="s">
        <v>98</v>
      </c>
      <c r="F62" s="48">
        <v>448.13</v>
      </c>
    </row>
    <row r="63" spans="3:6" x14ac:dyDescent="0.35">
      <c r="C63" s="53">
        <v>46282</v>
      </c>
      <c r="D63" s="47" t="s">
        <v>97</v>
      </c>
      <c r="E63" s="47" t="s">
        <v>99</v>
      </c>
      <c r="F63" s="48">
        <v>989.32</v>
      </c>
    </row>
    <row r="64" spans="3:6" x14ac:dyDescent="0.35">
      <c r="C64" s="53">
        <v>46282</v>
      </c>
      <c r="D64" s="47" t="s">
        <v>97</v>
      </c>
      <c r="E64" s="47" t="s">
        <v>100</v>
      </c>
      <c r="F64" s="48">
        <v>428.25</v>
      </c>
    </row>
    <row r="65" spans="3:6" x14ac:dyDescent="0.35">
      <c r="C65" s="53">
        <v>46283</v>
      </c>
      <c r="D65" s="47" t="s">
        <v>97</v>
      </c>
      <c r="E65" s="47" t="s">
        <v>98</v>
      </c>
      <c r="F65" s="48">
        <v>591.66</v>
      </c>
    </row>
    <row r="66" spans="3:6" x14ac:dyDescent="0.35">
      <c r="C66" s="53">
        <v>46283</v>
      </c>
      <c r="D66" s="47" t="s">
        <v>97</v>
      </c>
      <c r="E66" s="47" t="s">
        <v>99</v>
      </c>
      <c r="F66" s="48">
        <v>1274.79</v>
      </c>
    </row>
    <row r="67" spans="3:6" x14ac:dyDescent="0.35">
      <c r="C67" s="53">
        <v>46283</v>
      </c>
      <c r="D67" s="47" t="s">
        <v>97</v>
      </c>
      <c r="E67" s="47" t="s">
        <v>100</v>
      </c>
      <c r="F67" s="48">
        <v>404.65</v>
      </c>
    </row>
    <row r="68" spans="3:6" x14ac:dyDescent="0.35">
      <c r="C68" s="53">
        <v>46284</v>
      </c>
      <c r="D68" s="47" t="s">
        <v>97</v>
      </c>
      <c r="E68" s="47" t="s">
        <v>98</v>
      </c>
      <c r="F68" s="48">
        <v>541.21</v>
      </c>
    </row>
    <row r="69" spans="3:6" x14ac:dyDescent="0.35">
      <c r="C69" s="53">
        <v>46284</v>
      </c>
      <c r="D69" s="47" t="s">
        <v>97</v>
      </c>
      <c r="E69" s="47" t="s">
        <v>99</v>
      </c>
      <c r="F69" s="48">
        <v>1256.48</v>
      </c>
    </row>
    <row r="70" spans="3:6" x14ac:dyDescent="0.35">
      <c r="C70" s="53">
        <v>46284</v>
      </c>
      <c r="D70" s="47" t="s">
        <v>97</v>
      </c>
      <c r="E70" s="47" t="s">
        <v>100</v>
      </c>
      <c r="F70" s="48">
        <v>340.24</v>
      </c>
    </row>
    <row r="71" spans="3:6" x14ac:dyDescent="0.35">
      <c r="C71" s="53">
        <v>46285</v>
      </c>
      <c r="D71" s="47" t="s">
        <v>97</v>
      </c>
      <c r="E71" s="47" t="s">
        <v>98</v>
      </c>
      <c r="F71" s="48">
        <v>542.76</v>
      </c>
    </row>
    <row r="72" spans="3:6" x14ac:dyDescent="0.35">
      <c r="C72" s="53">
        <v>46285</v>
      </c>
      <c r="D72" s="47" t="s">
        <v>97</v>
      </c>
      <c r="E72" s="47" t="s">
        <v>99</v>
      </c>
      <c r="F72" s="48">
        <v>1305.9100000000001</v>
      </c>
    </row>
    <row r="73" spans="3:6" x14ac:dyDescent="0.35">
      <c r="C73" s="53">
        <v>46285</v>
      </c>
      <c r="D73" s="47" t="s">
        <v>97</v>
      </c>
      <c r="E73" s="47" t="s">
        <v>100</v>
      </c>
      <c r="F73" s="48">
        <v>454.07</v>
      </c>
    </row>
    <row r="74" spans="3:6" x14ac:dyDescent="0.35">
      <c r="C74" s="53">
        <v>46286</v>
      </c>
      <c r="D74" s="47" t="s">
        <v>97</v>
      </c>
      <c r="E74" s="47" t="s">
        <v>98</v>
      </c>
      <c r="F74" s="48">
        <v>561.03</v>
      </c>
    </row>
    <row r="75" spans="3:6" x14ac:dyDescent="0.35">
      <c r="C75" s="53">
        <v>46286</v>
      </c>
      <c r="D75" s="47" t="s">
        <v>97</v>
      </c>
      <c r="E75" s="47" t="s">
        <v>99</v>
      </c>
      <c r="F75" s="48">
        <v>1112.1400000000001</v>
      </c>
    </row>
    <row r="76" spans="3:6" x14ac:dyDescent="0.35">
      <c r="C76" s="53">
        <v>46286</v>
      </c>
      <c r="D76" s="47" t="s">
        <v>97</v>
      </c>
      <c r="E76" s="47" t="s">
        <v>100</v>
      </c>
      <c r="F76" s="48">
        <v>355.53</v>
      </c>
    </row>
    <row r="77" spans="3:6" x14ac:dyDescent="0.35">
      <c r="C77" s="53">
        <v>46287</v>
      </c>
      <c r="D77" s="47" t="s">
        <v>97</v>
      </c>
      <c r="E77" s="47" t="s">
        <v>98</v>
      </c>
      <c r="F77" s="48">
        <v>568.98</v>
      </c>
    </row>
    <row r="78" spans="3:6" x14ac:dyDescent="0.35">
      <c r="C78" s="53">
        <v>46287</v>
      </c>
      <c r="D78" s="47" t="s">
        <v>97</v>
      </c>
      <c r="E78" s="47" t="s">
        <v>99</v>
      </c>
      <c r="F78" s="48">
        <v>1046.83</v>
      </c>
    </row>
    <row r="79" spans="3:6" x14ac:dyDescent="0.35">
      <c r="C79" s="53">
        <v>46287</v>
      </c>
      <c r="D79" s="47" t="s">
        <v>97</v>
      </c>
      <c r="E79" s="47" t="s">
        <v>100</v>
      </c>
      <c r="F79" s="48">
        <v>457.09</v>
      </c>
    </row>
    <row r="80" spans="3:6" x14ac:dyDescent="0.35">
      <c r="C80" s="53">
        <v>46288</v>
      </c>
      <c r="D80" s="47" t="s">
        <v>97</v>
      </c>
      <c r="E80" s="47" t="s">
        <v>98</v>
      </c>
      <c r="F80" s="48">
        <v>606.22</v>
      </c>
    </row>
    <row r="81" spans="3:6" x14ac:dyDescent="0.35">
      <c r="C81" s="53">
        <v>46288</v>
      </c>
      <c r="D81" s="47" t="s">
        <v>97</v>
      </c>
      <c r="E81" s="47" t="s">
        <v>99</v>
      </c>
      <c r="F81" s="48">
        <v>1075.25</v>
      </c>
    </row>
    <row r="82" spans="3:6" x14ac:dyDescent="0.35">
      <c r="C82" s="53">
        <v>46288</v>
      </c>
      <c r="D82" s="47" t="s">
        <v>97</v>
      </c>
      <c r="E82" s="47" t="s">
        <v>100</v>
      </c>
      <c r="F82" s="48">
        <v>391.91</v>
      </c>
    </row>
    <row r="83" spans="3:6" x14ac:dyDescent="0.35">
      <c r="C83" s="53">
        <v>46289</v>
      </c>
      <c r="D83" s="47" t="s">
        <v>97</v>
      </c>
      <c r="E83" s="47" t="s">
        <v>98</v>
      </c>
      <c r="F83" s="48">
        <v>601.15</v>
      </c>
    </row>
    <row r="84" spans="3:6" x14ac:dyDescent="0.35">
      <c r="C84" s="53">
        <v>46289</v>
      </c>
      <c r="D84" s="47" t="s">
        <v>97</v>
      </c>
      <c r="E84" s="47" t="s">
        <v>99</v>
      </c>
      <c r="F84" s="48">
        <v>1222.8900000000001</v>
      </c>
    </row>
    <row r="85" spans="3:6" x14ac:dyDescent="0.35">
      <c r="C85" s="53">
        <v>46289</v>
      </c>
      <c r="D85" s="47" t="s">
        <v>97</v>
      </c>
      <c r="E85" s="47" t="s">
        <v>100</v>
      </c>
      <c r="F85" s="48">
        <v>354.14</v>
      </c>
    </row>
  </sheetData>
  <mergeCells count="5">
    <mergeCell ref="M2:Q3"/>
    <mergeCell ref="I6:J6"/>
    <mergeCell ref="I7:J7"/>
    <mergeCell ref="I8:J8"/>
    <mergeCell ref="H9:Q9"/>
  </mergeCells>
  <conditionalFormatting sqref="C14:C10013">
    <cfRule type="expression" dxfId="39" priority="7">
      <formula>AND(C14&lt;&gt;"",NOT(ISNUMBER(C14)))</formula>
    </cfRule>
  </conditionalFormatting>
  <conditionalFormatting sqref="C14:F10013">
    <cfRule type="expression" dxfId="38" priority="6">
      <formula>OR(ROW()&lt;54,COUNTA($C14:$F14)&gt;0)</formula>
    </cfRule>
  </conditionalFormatting>
  <conditionalFormatting sqref="F8">
    <cfRule type="expression" dxfId="37" priority="5">
      <formula>$F$8&gt;0</formula>
    </cfRule>
  </conditionalFormatting>
  <conditionalFormatting sqref="F14:F10013">
    <cfRule type="expression" dxfId="36" priority="8">
      <formula>AND(F14&lt;&gt;"",NOT(ISNUMBER(F14)))</formula>
    </cfRule>
  </conditionalFormatting>
  <conditionalFormatting sqref="I7:J8">
    <cfRule type="expression" dxfId="35" priority="2">
      <formula>OR($I$8="Overpacing",$I$8="Underpacing",$I$8="Tab not found")</formula>
    </cfRule>
    <cfRule type="expression" dxfId="34" priority="3">
      <formula>OR($I$8="Slightly over",$I$8="Slightly under")</formula>
    </cfRule>
    <cfRule type="expression" dxfId="33" priority="4">
      <formula>$I$8="On pace"</formula>
    </cfRule>
  </conditionalFormatting>
  <conditionalFormatting sqref="N14:O38">
    <cfRule type="expression" dxfId="32" priority="9">
      <formula>OR($O14="Overpacing",$O14="Underpacing",$O14="Tab not found")</formula>
    </cfRule>
    <cfRule type="expression" dxfId="31" priority="10">
      <formula>OR($O14="Slightly over",$O14="Slightly under")</formula>
    </cfRule>
    <cfRule type="expression" dxfId="30" priority="11">
      <formula>$O14="On pace"</formula>
    </cfRule>
  </conditionalFormatting>
  <dataValidations count="3">
    <dataValidation type="custom" showInputMessage="1" promptTitle="Channel name" prompt="Must match this tab's name and the name in the Overview Channel column." sqref="D6" xr:uid="{00000000-0002-0000-0600-000000000000}">
      <formula1>1</formula1>
      <formula2>0</formula2>
    </dataValidation>
    <dataValidation type="date" operator="greaterThan" showErrorMessage="1" error="Enter a date" sqref="I14:J38" xr:uid="{00000000-0002-0000-0600-000001000000}">
      <formula1>1</formula1>
      <formula2>0</formula2>
    </dataValidation>
    <dataValidation type="decimal" operator="greaterThanOrEqual" showErrorMessage="1" error="Enter a number" sqref="K14:K38" xr:uid="{00000000-0002-0000-06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2:Q61"/>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Microsoft Ads</v>
      </c>
      <c r="N2" s="14"/>
      <c r="O2" s="14"/>
      <c r="P2" s="14"/>
      <c r="Q2" s="14"/>
    </row>
    <row r="3" spans="3:17" x14ac:dyDescent="0.35">
      <c r="M3" s="14"/>
      <c r="N3" s="14"/>
      <c r="O3" s="14"/>
      <c r="P3" s="14"/>
      <c r="Q3" s="14"/>
    </row>
    <row r="6" spans="3:17" x14ac:dyDescent="0.35">
      <c r="C6" s="15" t="s">
        <v>71</v>
      </c>
      <c r="D6" s="49" t="s">
        <v>44</v>
      </c>
      <c r="E6" s="15" t="s">
        <v>72</v>
      </c>
      <c r="F6" s="50">
        <f>COUNTA($C$14:$C$10013)</f>
        <v>48</v>
      </c>
      <c r="H6" s="15" t="s">
        <v>73</v>
      </c>
      <c r="I6" s="3">
        <f ca="1">IFERROR(IF(INDEX(Overview!$H$18:$H$33,MATCH($D$6,Overview!$C$18:$C$33,0))="","",INDEX(Overview!$H$18:$H$33,MATCH($D$6,Overview!$C$18:$C$33,0))),"")</f>
        <v>9051.5100000000039</v>
      </c>
      <c r="J6" s="3"/>
    </row>
    <row r="7" spans="3:17" x14ac:dyDescent="0.35">
      <c r="C7" s="15" t="s">
        <v>26</v>
      </c>
      <c r="D7" s="18">
        <f>IFERROR(IF(INDEX(Overview!$D$18:$D$33,MATCH($D$6,Overview!$C$18:$C$33,0))="","",INDEX(Overview!$D$18:$D$33,MATCH($D$6,Overview!$C$18:$C$33,0))),"")</f>
        <v>46266</v>
      </c>
      <c r="E7" s="15" t="s">
        <v>74</v>
      </c>
      <c r="F7" s="51">
        <f>SUM($F$14:$F$10013)</f>
        <v>9051.5100000000039</v>
      </c>
      <c r="H7" s="15" t="s">
        <v>31</v>
      </c>
      <c r="I7" s="2">
        <f ca="1">IFERROR(IF(INDEX(Overview!$K$18:$K$33,MATCH($D$6,Overview!$C$18:$C$33,0))="","",INDEX(Overview!$K$18:$K$33,MATCH($D$6,Overview!$C$18:$C$33,0))),"")</f>
        <v>1.1314387500000005</v>
      </c>
      <c r="J7" s="2"/>
    </row>
    <row r="8" spans="3:17" x14ac:dyDescent="0.35">
      <c r="C8" s="15" t="s">
        <v>27</v>
      </c>
      <c r="D8" s="18">
        <f>IFERROR(IF(INDEX(Overview!$E$18:$E$33,MATCH($D$6,Overview!$C$18:$C$33,0))="","",INDEX(Overview!$E$18:$E$33,MATCH($D$6,Overview!$C$18:$C$33,0))),"")</f>
        <v>46295</v>
      </c>
      <c r="E8" s="15" t="s">
        <v>75</v>
      </c>
      <c r="F8" s="50">
        <f>(COUNTA($C$14:$C$10013)-COUNT($C$14:$C$10013))+(COUNTA($F$14:$F$10013)-COUNT($F$14:$F$10013))</f>
        <v>0</v>
      </c>
      <c r="H8" s="15" t="s">
        <v>22</v>
      </c>
      <c r="I8" s="1" t="str">
        <f ca="1">IFERROR(IF(INDEX(Overview!$L$18:$L$33,MATCH($D$6,Overview!$C$18:$C$33,0))="","",INDEX(Overview!$L$18:$L$33,MATCH($D$6,Overview!$C$18:$C$33,0))),"")</f>
        <v>Slightly over</v>
      </c>
      <c r="J8" s="1"/>
    </row>
    <row r="9" spans="3:17" x14ac:dyDescent="0.35">
      <c r="C9" s="15" t="s">
        <v>76</v>
      </c>
      <c r="D9" s="52">
        <f>IFERROR(IF(INDEX(Overview!$F$18:$F$33,MATCH($D$6,Overview!$C$18:$C$33,0))="","",INDEX(Overview!$F$18:$F$33,MATCH($D$6,Overview!$C$18:$C$33,0))),"")</f>
        <v>10000</v>
      </c>
      <c r="E9" s="15" t="s">
        <v>77</v>
      </c>
      <c r="F9" s="50">
        <f>IF(OR($D$7="",$D$8=""),"",COUNT($C$14:$C$10013)-COUNTIFS($C$14:$C$10013,"&gt;="&amp;$D$7,$C$14:$C$10013,"&lt;="&amp;$D$8))</f>
        <v>0</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96</v>
      </c>
      <c r="E13" s="20" t="s">
        <v>92</v>
      </c>
      <c r="F13" s="20" t="s">
        <v>84</v>
      </c>
      <c r="H13" s="20" t="s">
        <v>85</v>
      </c>
      <c r="I13" s="20" t="s">
        <v>26</v>
      </c>
      <c r="J13" s="20" t="s">
        <v>27</v>
      </c>
      <c r="K13" s="20" t="s">
        <v>76</v>
      </c>
      <c r="L13" s="20" t="s">
        <v>29</v>
      </c>
      <c r="M13" s="20" t="s">
        <v>15</v>
      </c>
      <c r="N13" s="20" t="s">
        <v>31</v>
      </c>
      <c r="O13" s="20" t="s">
        <v>22</v>
      </c>
      <c r="P13" s="20" t="s">
        <v>20</v>
      </c>
      <c r="Q13" s="20" t="s">
        <v>35</v>
      </c>
    </row>
    <row r="14" spans="3:17" x14ac:dyDescent="0.35">
      <c r="C14" s="53">
        <v>46266</v>
      </c>
      <c r="D14" s="47" t="s">
        <v>97</v>
      </c>
      <c r="E14" s="47" t="s">
        <v>98</v>
      </c>
      <c r="F14" s="48">
        <v>128.19</v>
      </c>
      <c r="H14" s="54" t="s">
        <v>98</v>
      </c>
      <c r="I14" s="23">
        <f t="shared" ref="I14:I38" si="0">IF(OR(H14="",$D$7=""),"",$D$7)</f>
        <v>46266</v>
      </c>
      <c r="J14" s="23">
        <f t="shared" ref="J14:J38" si="1">IF(OR(H14="",$D$8=""),"",$D$8)</f>
        <v>46295</v>
      </c>
      <c r="K14" s="24">
        <v>4000</v>
      </c>
      <c r="L14" s="25">
        <f t="shared" ref="L14:L38" si="2">IF(OR(H14="",I14="",J14=""),"",SUMIFS($F$14:$F$10013,$E$14:$E$10013,H14,$C$14:$C$10013,"&gt;="&amp;I14,$C$14:$C$10013,"&lt;="&amp;J14))</f>
        <v>3515.3799999999997</v>
      </c>
      <c r="M14" s="18">
        <f t="shared" ref="M14:M38" si="3">IF(L14="","",IF(COUNTIFS($E$14:$E$10013,H14,$C$14:$C$10013,"&gt;="&amp;I14,$C$14:$C$10013,"&lt;="&amp;J14)=0,"",_xlfn.MAXIFS($C$14:$C$10013,$E$14:$E$10013,H14,$C$14:$C$10013,"&gt;="&amp;I14,$C$14:$C$10013,"&lt;="&amp;J14)))</f>
        <v>46289</v>
      </c>
      <c r="N14" s="26">
        <f t="shared" ref="N14:N38" si="4">IF(OR(M14="",K14="",K14=0),"",(L14/K14)/((M14-I14+1)/(J14-I14+1)))</f>
        <v>1.0985562499999997</v>
      </c>
      <c r="O14" s="27" t="str">
        <f>IF(N14="","",IF(N14-1&gt;Overview!$G$7,"Overpacing",IF(1-N14&gt;Overview!$G$7,"Underpacing",IF(N14-1&gt;Overview!$G$6,"Slightly over",IF(1-N14&gt;Overview!$G$6,"Slightly under","On pace")))))</f>
        <v>On pace</v>
      </c>
      <c r="P14" s="25">
        <f t="shared" ref="P14:P38" si="5">IF(OR(L14="",K14=""),"",K14-L14)</f>
        <v>484.62000000000035</v>
      </c>
      <c r="Q14" s="25">
        <f t="shared" ref="Q14:Q38" si="6">IF(P14="","",IF(M14="",MAX(0,P14)/(J14-I14+1),IF(J14-M14&lt;=0,"",MAX(0,P14)/(J14-M14))))</f>
        <v>80.770000000000053</v>
      </c>
    </row>
    <row r="15" spans="3:17" x14ac:dyDescent="0.35">
      <c r="C15" s="53">
        <v>46266</v>
      </c>
      <c r="D15" s="47" t="s">
        <v>97</v>
      </c>
      <c r="E15" s="47" t="s">
        <v>99</v>
      </c>
      <c r="F15" s="48">
        <v>194.46</v>
      </c>
      <c r="H15" s="54" t="s">
        <v>99</v>
      </c>
      <c r="I15" s="23">
        <f t="shared" si="0"/>
        <v>46266</v>
      </c>
      <c r="J15" s="23">
        <f t="shared" si="1"/>
        <v>46295</v>
      </c>
      <c r="K15" s="24">
        <v>6000</v>
      </c>
      <c r="L15" s="25">
        <f t="shared" si="2"/>
        <v>5536.130000000001</v>
      </c>
      <c r="M15" s="18">
        <f t="shared" si="3"/>
        <v>46289</v>
      </c>
      <c r="N15" s="26">
        <f t="shared" si="4"/>
        <v>1.1533604166666669</v>
      </c>
      <c r="O15" s="27" t="str">
        <f>IF(N15="","",IF(N15-1&gt;Overview!$G$7,"Overpacing",IF(1-N15&gt;Overview!$G$7,"Underpacing",IF(N15-1&gt;Overview!$G$6,"Slightly over",IF(1-N15&gt;Overview!$G$6,"Slightly under","On pace")))))</f>
        <v>Slightly over</v>
      </c>
      <c r="P15" s="25">
        <f t="shared" si="5"/>
        <v>463.86999999999898</v>
      </c>
      <c r="Q15" s="25">
        <f t="shared" si="6"/>
        <v>77.311666666666497</v>
      </c>
    </row>
    <row r="16" spans="3:17" x14ac:dyDescent="0.35">
      <c r="C16" s="53">
        <v>46267</v>
      </c>
      <c r="D16" s="47" t="s">
        <v>97</v>
      </c>
      <c r="E16" s="47" t="s">
        <v>98</v>
      </c>
      <c r="F16" s="48">
        <v>175.07</v>
      </c>
      <c r="H16" s="54"/>
      <c r="I16" s="23" t="str">
        <f t="shared" si="0"/>
        <v/>
      </c>
      <c r="J16" s="23" t="str">
        <f t="shared" si="1"/>
        <v/>
      </c>
      <c r="K16" s="24"/>
      <c r="L16" s="25" t="str">
        <f t="shared" si="2"/>
        <v/>
      </c>
      <c r="M16" s="18" t="str">
        <f t="shared" si="3"/>
        <v/>
      </c>
      <c r="N16" s="26" t="str">
        <f t="shared" si="4"/>
        <v/>
      </c>
      <c r="O16" s="27" t="str">
        <f>IF(N16="","",IF(N16-1&gt;Overview!$G$7,"Overpacing",IF(1-N16&gt;Overview!$G$7,"Underpacing",IF(N16-1&gt;Overview!$G$6,"Slightly over",IF(1-N16&gt;Overview!$G$6,"Slightly under","On pace")))))</f>
        <v/>
      </c>
      <c r="P16" s="25" t="str">
        <f t="shared" si="5"/>
        <v/>
      </c>
      <c r="Q16" s="25" t="str">
        <f t="shared" si="6"/>
        <v/>
      </c>
    </row>
    <row r="17" spans="3:17" x14ac:dyDescent="0.35">
      <c r="C17" s="53">
        <v>46267</v>
      </c>
      <c r="D17" s="47" t="s">
        <v>97</v>
      </c>
      <c r="E17" s="47" t="s">
        <v>99</v>
      </c>
      <c r="F17" s="48">
        <v>253.71</v>
      </c>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3:17" x14ac:dyDescent="0.35">
      <c r="C18" s="53">
        <v>46268</v>
      </c>
      <c r="D18" s="47" t="s">
        <v>97</v>
      </c>
      <c r="E18" s="47" t="s">
        <v>98</v>
      </c>
      <c r="F18" s="48">
        <v>129.34</v>
      </c>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3:17" x14ac:dyDescent="0.35">
      <c r="C19" s="53">
        <v>46268</v>
      </c>
      <c r="D19" s="47" t="s">
        <v>97</v>
      </c>
      <c r="E19" s="47" t="s">
        <v>99</v>
      </c>
      <c r="F19" s="48">
        <v>255.52</v>
      </c>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3:17" x14ac:dyDescent="0.35">
      <c r="C20" s="53">
        <v>46269</v>
      </c>
      <c r="D20" s="47" t="s">
        <v>97</v>
      </c>
      <c r="E20" s="47" t="s">
        <v>98</v>
      </c>
      <c r="F20" s="48">
        <v>179.61</v>
      </c>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3:17" x14ac:dyDescent="0.35">
      <c r="C21" s="53">
        <v>46269</v>
      </c>
      <c r="D21" s="47" t="s">
        <v>97</v>
      </c>
      <c r="E21" s="47" t="s">
        <v>99</v>
      </c>
      <c r="F21" s="48">
        <v>240.22</v>
      </c>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3:17" x14ac:dyDescent="0.35">
      <c r="C22" s="53">
        <v>46270</v>
      </c>
      <c r="D22" s="47" t="s">
        <v>97</v>
      </c>
      <c r="E22" s="47" t="s">
        <v>98</v>
      </c>
      <c r="F22" s="48">
        <v>141.65</v>
      </c>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3:17" x14ac:dyDescent="0.35">
      <c r="C23" s="53">
        <v>46270</v>
      </c>
      <c r="D23" s="47" t="s">
        <v>97</v>
      </c>
      <c r="E23" s="47" t="s">
        <v>99</v>
      </c>
      <c r="F23" s="48">
        <v>230.4</v>
      </c>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3:17" x14ac:dyDescent="0.35">
      <c r="C24" s="53">
        <v>46271</v>
      </c>
      <c r="D24" s="47" t="s">
        <v>97</v>
      </c>
      <c r="E24" s="47" t="s">
        <v>98</v>
      </c>
      <c r="F24" s="48">
        <v>128.43</v>
      </c>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3:17" x14ac:dyDescent="0.35">
      <c r="C25" s="53">
        <v>46271</v>
      </c>
      <c r="D25" s="47" t="s">
        <v>97</v>
      </c>
      <c r="E25" s="47" t="s">
        <v>99</v>
      </c>
      <c r="F25" s="48">
        <v>182.09</v>
      </c>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3:17" x14ac:dyDescent="0.35">
      <c r="C26" s="53">
        <v>46272</v>
      </c>
      <c r="D26" s="47" t="s">
        <v>97</v>
      </c>
      <c r="E26" s="47" t="s">
        <v>98</v>
      </c>
      <c r="F26" s="48">
        <v>179.05</v>
      </c>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3:17" x14ac:dyDescent="0.35">
      <c r="C27" s="53">
        <v>46272</v>
      </c>
      <c r="D27" s="47" t="s">
        <v>97</v>
      </c>
      <c r="E27" s="47" t="s">
        <v>99</v>
      </c>
      <c r="F27" s="48">
        <v>239.53</v>
      </c>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3:17" x14ac:dyDescent="0.35">
      <c r="C28" s="53">
        <v>46273</v>
      </c>
      <c r="D28" s="47" t="s">
        <v>97</v>
      </c>
      <c r="E28" s="47" t="s">
        <v>98</v>
      </c>
      <c r="F28" s="48">
        <v>152.27000000000001</v>
      </c>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3:17" x14ac:dyDescent="0.35">
      <c r="C29" s="53">
        <v>46273</v>
      </c>
      <c r="D29" s="47" t="s">
        <v>97</v>
      </c>
      <c r="E29" s="47" t="s">
        <v>99</v>
      </c>
      <c r="F29" s="48">
        <v>265.2</v>
      </c>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3:17" x14ac:dyDescent="0.35">
      <c r="C30" s="53">
        <v>46274</v>
      </c>
      <c r="D30" s="47" t="s">
        <v>97</v>
      </c>
      <c r="E30" s="47" t="s">
        <v>98</v>
      </c>
      <c r="F30" s="48">
        <v>146.68</v>
      </c>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3:17" x14ac:dyDescent="0.35">
      <c r="C31" s="53">
        <v>46274</v>
      </c>
      <c r="D31" s="47" t="s">
        <v>97</v>
      </c>
      <c r="E31" s="47" t="s">
        <v>99</v>
      </c>
      <c r="F31" s="48">
        <v>259.61</v>
      </c>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3:17" x14ac:dyDescent="0.35">
      <c r="C32" s="53">
        <v>46275</v>
      </c>
      <c r="D32" s="47" t="s">
        <v>97</v>
      </c>
      <c r="E32" s="47" t="s">
        <v>98</v>
      </c>
      <c r="F32" s="48">
        <v>170.32</v>
      </c>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3:17" x14ac:dyDescent="0.35">
      <c r="C33" s="53">
        <v>46275</v>
      </c>
      <c r="D33" s="47" t="s">
        <v>97</v>
      </c>
      <c r="E33" s="47" t="s">
        <v>99</v>
      </c>
      <c r="F33" s="48">
        <v>199.88</v>
      </c>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3:17" x14ac:dyDescent="0.35">
      <c r="C34" s="53">
        <v>46276</v>
      </c>
      <c r="D34" s="47" t="s">
        <v>97</v>
      </c>
      <c r="E34" s="47" t="s">
        <v>98</v>
      </c>
      <c r="F34" s="48">
        <v>135.71</v>
      </c>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3:17" x14ac:dyDescent="0.35">
      <c r="C35" s="53">
        <v>46276</v>
      </c>
      <c r="D35" s="47" t="s">
        <v>97</v>
      </c>
      <c r="E35" s="47" t="s">
        <v>99</v>
      </c>
      <c r="F35" s="48">
        <v>207.28</v>
      </c>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3:17" x14ac:dyDescent="0.35">
      <c r="C36" s="53">
        <v>46277</v>
      </c>
      <c r="D36" s="47" t="s">
        <v>97</v>
      </c>
      <c r="E36" s="47" t="s">
        <v>98</v>
      </c>
      <c r="F36" s="48">
        <v>135.03</v>
      </c>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3:17" x14ac:dyDescent="0.35">
      <c r="C37" s="53">
        <v>46277</v>
      </c>
      <c r="D37" s="47" t="s">
        <v>97</v>
      </c>
      <c r="E37" s="47" t="s">
        <v>99</v>
      </c>
      <c r="F37" s="48">
        <v>233.81</v>
      </c>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3:17" x14ac:dyDescent="0.35">
      <c r="C38" s="53">
        <v>46278</v>
      </c>
      <c r="D38" s="47" t="s">
        <v>97</v>
      </c>
      <c r="E38" s="47" t="s">
        <v>98</v>
      </c>
      <c r="F38" s="48">
        <v>136.16</v>
      </c>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row r="39" spans="3:17" x14ac:dyDescent="0.35">
      <c r="C39" s="53">
        <v>46278</v>
      </c>
      <c r="D39" s="47" t="s">
        <v>97</v>
      </c>
      <c r="E39" s="47" t="s">
        <v>99</v>
      </c>
      <c r="F39" s="48">
        <v>218.68</v>
      </c>
    </row>
    <row r="40" spans="3:17" x14ac:dyDescent="0.35">
      <c r="C40" s="53">
        <v>46279</v>
      </c>
      <c r="D40" s="47" t="s">
        <v>97</v>
      </c>
      <c r="E40" s="47" t="s">
        <v>98</v>
      </c>
      <c r="F40" s="48">
        <v>128.43</v>
      </c>
    </row>
    <row r="41" spans="3:17" x14ac:dyDescent="0.35">
      <c r="C41" s="53">
        <v>46279</v>
      </c>
      <c r="D41" s="47" t="s">
        <v>97</v>
      </c>
      <c r="E41" s="47" t="s">
        <v>99</v>
      </c>
      <c r="F41" s="48">
        <v>263.07</v>
      </c>
    </row>
    <row r="42" spans="3:17" x14ac:dyDescent="0.35">
      <c r="C42" s="53">
        <v>46280</v>
      </c>
      <c r="D42" s="47" t="s">
        <v>97</v>
      </c>
      <c r="E42" s="47" t="s">
        <v>98</v>
      </c>
      <c r="F42" s="48">
        <v>141.85</v>
      </c>
    </row>
    <row r="43" spans="3:17" x14ac:dyDescent="0.35">
      <c r="C43" s="53">
        <v>46280</v>
      </c>
      <c r="D43" s="47" t="s">
        <v>97</v>
      </c>
      <c r="E43" s="47" t="s">
        <v>99</v>
      </c>
      <c r="F43" s="48">
        <v>222.22</v>
      </c>
    </row>
    <row r="44" spans="3:17" x14ac:dyDescent="0.35">
      <c r="C44" s="53">
        <v>46281</v>
      </c>
      <c r="D44" s="47" t="s">
        <v>97</v>
      </c>
      <c r="E44" s="47" t="s">
        <v>98</v>
      </c>
      <c r="F44" s="48">
        <v>155.69</v>
      </c>
    </row>
    <row r="45" spans="3:17" x14ac:dyDescent="0.35">
      <c r="C45" s="53">
        <v>46281</v>
      </c>
      <c r="D45" s="47" t="s">
        <v>97</v>
      </c>
      <c r="E45" s="47" t="s">
        <v>99</v>
      </c>
      <c r="F45" s="48">
        <v>262.55</v>
      </c>
    </row>
    <row r="46" spans="3:17" x14ac:dyDescent="0.35">
      <c r="C46" s="53">
        <v>46282</v>
      </c>
      <c r="D46" s="47" t="s">
        <v>97</v>
      </c>
      <c r="E46" s="47" t="s">
        <v>98</v>
      </c>
      <c r="F46" s="48">
        <v>145.88</v>
      </c>
    </row>
    <row r="47" spans="3:17" x14ac:dyDescent="0.35">
      <c r="C47" s="53">
        <v>46282</v>
      </c>
      <c r="D47" s="47" t="s">
        <v>97</v>
      </c>
      <c r="E47" s="47" t="s">
        <v>99</v>
      </c>
      <c r="F47" s="48">
        <v>263.76</v>
      </c>
    </row>
    <row r="48" spans="3:17" x14ac:dyDescent="0.35">
      <c r="C48" s="53">
        <v>46283</v>
      </c>
      <c r="D48" s="47" t="s">
        <v>97</v>
      </c>
      <c r="E48" s="47" t="s">
        <v>98</v>
      </c>
      <c r="F48" s="48">
        <v>150.77000000000001</v>
      </c>
    </row>
    <row r="49" spans="3:6" x14ac:dyDescent="0.35">
      <c r="C49" s="53">
        <v>46283</v>
      </c>
      <c r="D49" s="47" t="s">
        <v>97</v>
      </c>
      <c r="E49" s="47" t="s">
        <v>99</v>
      </c>
      <c r="F49" s="48">
        <v>228.88</v>
      </c>
    </row>
    <row r="50" spans="3:6" x14ac:dyDescent="0.35">
      <c r="C50" s="53">
        <v>46284</v>
      </c>
      <c r="D50" s="47" t="s">
        <v>97</v>
      </c>
      <c r="E50" s="47" t="s">
        <v>98</v>
      </c>
      <c r="F50" s="48">
        <v>152.08000000000001</v>
      </c>
    </row>
    <row r="51" spans="3:6" x14ac:dyDescent="0.35">
      <c r="C51" s="53">
        <v>46284</v>
      </c>
      <c r="D51" s="47" t="s">
        <v>97</v>
      </c>
      <c r="E51" s="47" t="s">
        <v>99</v>
      </c>
      <c r="F51" s="48">
        <v>182.49</v>
      </c>
    </row>
    <row r="52" spans="3:6" x14ac:dyDescent="0.35">
      <c r="C52" s="53">
        <v>46285</v>
      </c>
      <c r="D52" s="47" t="s">
        <v>97</v>
      </c>
      <c r="E52" s="47" t="s">
        <v>98</v>
      </c>
      <c r="F52" s="48">
        <v>147.06</v>
      </c>
    </row>
    <row r="53" spans="3:6" x14ac:dyDescent="0.35">
      <c r="C53" s="53">
        <v>46285</v>
      </c>
      <c r="D53" s="47" t="s">
        <v>97</v>
      </c>
      <c r="E53" s="47" t="s">
        <v>99</v>
      </c>
      <c r="F53" s="48">
        <v>197.35</v>
      </c>
    </row>
    <row r="54" spans="3:6" x14ac:dyDescent="0.35">
      <c r="C54" s="53">
        <v>46286</v>
      </c>
      <c r="D54" s="47" t="s">
        <v>97</v>
      </c>
      <c r="E54" s="47" t="s">
        <v>98</v>
      </c>
      <c r="F54" s="48">
        <v>120.77</v>
      </c>
    </row>
    <row r="55" spans="3:6" x14ac:dyDescent="0.35">
      <c r="C55" s="53">
        <v>46286</v>
      </c>
      <c r="D55" s="47" t="s">
        <v>97</v>
      </c>
      <c r="E55" s="47" t="s">
        <v>99</v>
      </c>
      <c r="F55" s="48">
        <v>253.05</v>
      </c>
    </row>
    <row r="56" spans="3:6" x14ac:dyDescent="0.35">
      <c r="C56" s="53">
        <v>46287</v>
      </c>
      <c r="D56" s="47" t="s">
        <v>97</v>
      </c>
      <c r="E56" s="47" t="s">
        <v>98</v>
      </c>
      <c r="F56" s="48">
        <v>130.91999999999999</v>
      </c>
    </row>
    <row r="57" spans="3:6" x14ac:dyDescent="0.35">
      <c r="C57" s="53">
        <v>46287</v>
      </c>
      <c r="D57" s="47" t="s">
        <v>97</v>
      </c>
      <c r="E57" s="47" t="s">
        <v>99</v>
      </c>
      <c r="F57" s="48">
        <v>223.6</v>
      </c>
    </row>
    <row r="58" spans="3:6" x14ac:dyDescent="0.35">
      <c r="C58" s="53">
        <v>46288</v>
      </c>
      <c r="D58" s="47" t="s">
        <v>97</v>
      </c>
      <c r="E58" s="47" t="s">
        <v>98</v>
      </c>
      <c r="F58" s="48">
        <v>164.24</v>
      </c>
    </row>
    <row r="59" spans="3:6" x14ac:dyDescent="0.35">
      <c r="C59" s="53">
        <v>46288</v>
      </c>
      <c r="D59" s="47" t="s">
        <v>97</v>
      </c>
      <c r="E59" s="47" t="s">
        <v>99</v>
      </c>
      <c r="F59" s="48">
        <v>231.11</v>
      </c>
    </row>
    <row r="60" spans="3:6" x14ac:dyDescent="0.35">
      <c r="C60" s="53">
        <v>46289</v>
      </c>
      <c r="D60" s="47" t="s">
        <v>97</v>
      </c>
      <c r="E60" s="47" t="s">
        <v>98</v>
      </c>
      <c r="F60" s="48">
        <v>140.18</v>
      </c>
    </row>
    <row r="61" spans="3:6" x14ac:dyDescent="0.35">
      <c r="C61" s="53">
        <v>46289</v>
      </c>
      <c r="D61" s="47" t="s">
        <v>97</v>
      </c>
      <c r="E61" s="47" t="s">
        <v>99</v>
      </c>
      <c r="F61" s="48">
        <v>227.66</v>
      </c>
    </row>
  </sheetData>
  <mergeCells count="5">
    <mergeCell ref="M2:Q3"/>
    <mergeCell ref="I6:J6"/>
    <mergeCell ref="I7:J7"/>
    <mergeCell ref="I8:J8"/>
    <mergeCell ref="H9:Q9"/>
  </mergeCells>
  <conditionalFormatting sqref="C14:C10013">
    <cfRule type="expression" dxfId="29" priority="7">
      <formula>AND(C14&lt;&gt;"",NOT(ISNUMBER(C14)))</formula>
    </cfRule>
  </conditionalFormatting>
  <conditionalFormatting sqref="C14:F10013">
    <cfRule type="expression" dxfId="28" priority="6">
      <formula>OR(ROW()&lt;54,COUNTA($C14:$F14)&gt;0)</formula>
    </cfRule>
  </conditionalFormatting>
  <conditionalFormatting sqref="F8">
    <cfRule type="expression" dxfId="27" priority="5">
      <formula>$F$8&gt;0</formula>
    </cfRule>
  </conditionalFormatting>
  <conditionalFormatting sqref="F14:F10013">
    <cfRule type="expression" dxfId="26" priority="8">
      <formula>AND(F14&lt;&gt;"",NOT(ISNUMBER(F14)))</formula>
    </cfRule>
  </conditionalFormatting>
  <conditionalFormatting sqref="I7:J8">
    <cfRule type="expression" dxfId="25" priority="2">
      <formula>OR($I$8="Overpacing",$I$8="Underpacing",$I$8="Tab not found")</formula>
    </cfRule>
    <cfRule type="expression" dxfId="24" priority="3">
      <formula>OR($I$8="Slightly over",$I$8="Slightly under")</formula>
    </cfRule>
    <cfRule type="expression" dxfId="23" priority="4">
      <formula>$I$8="On pace"</formula>
    </cfRule>
  </conditionalFormatting>
  <conditionalFormatting sqref="N14:O38">
    <cfRule type="expression" dxfId="22" priority="9">
      <formula>OR($O14="Overpacing",$O14="Underpacing",$O14="Tab not found")</formula>
    </cfRule>
    <cfRule type="expression" dxfId="21" priority="10">
      <formula>OR($O14="Slightly over",$O14="Slightly under")</formula>
    </cfRule>
    <cfRule type="expression" dxfId="20" priority="11">
      <formula>$O14="On pace"</formula>
    </cfRule>
  </conditionalFormatting>
  <dataValidations count="3">
    <dataValidation type="custom" showInputMessage="1" promptTitle="Channel name" prompt="Must match this tab's name and the name in the Overview Channel column." sqref="D6" xr:uid="{00000000-0002-0000-0700-000000000000}">
      <formula1>1</formula1>
      <formula2>0</formula2>
    </dataValidation>
    <dataValidation type="date" operator="greaterThan" showErrorMessage="1" error="Enter a date" sqref="I14:J38" xr:uid="{00000000-0002-0000-0700-000001000000}">
      <formula1>1</formula1>
      <formula2>0</formula2>
    </dataValidation>
    <dataValidation type="decimal" operator="greaterThanOrEqual" showErrorMessage="1" error="Enter a number" sqref="K14:K38" xr:uid="{00000000-0002-0000-07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2:Q85"/>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Programmatic</v>
      </c>
      <c r="N2" s="14"/>
      <c r="O2" s="14"/>
      <c r="P2" s="14"/>
      <c r="Q2" s="14"/>
    </row>
    <row r="3" spans="3:17" x14ac:dyDescent="0.35">
      <c r="M3" s="14"/>
      <c r="N3" s="14"/>
      <c r="O3" s="14"/>
      <c r="P3" s="14"/>
      <c r="Q3" s="14"/>
    </row>
    <row r="6" spans="3:17" x14ac:dyDescent="0.35">
      <c r="C6" s="15" t="s">
        <v>71</v>
      </c>
      <c r="D6" s="49" t="s">
        <v>46</v>
      </c>
      <c r="E6" s="15" t="s">
        <v>72</v>
      </c>
      <c r="F6" s="50">
        <f>COUNTA($C$14:$C$10013)</f>
        <v>72</v>
      </c>
      <c r="H6" s="15" t="s">
        <v>73</v>
      </c>
      <c r="I6" s="3">
        <f ca="1">IFERROR(IF(INDEX(Overview!$H$18:$H$33,MATCH($D$6,Overview!$C$18:$C$33,0))="","",INDEX(Overview!$H$18:$H$33,MATCH($D$6,Overview!$C$18:$C$33,0))),"")</f>
        <v>39890.97</v>
      </c>
      <c r="J6" s="3"/>
    </row>
    <row r="7" spans="3:17" x14ac:dyDescent="0.35">
      <c r="C7" s="15" t="s">
        <v>26</v>
      </c>
      <c r="D7" s="18">
        <f>IFERROR(IF(INDEX(Overview!$D$18:$D$33,MATCH($D$6,Overview!$C$18:$C$33,0))="","",INDEX(Overview!$D$18:$D$33,MATCH($D$6,Overview!$C$18:$C$33,0))),"")</f>
        <v>46266</v>
      </c>
      <c r="E7" s="15" t="s">
        <v>74</v>
      </c>
      <c r="F7" s="51">
        <f>SUM($F$14:$F$10013)</f>
        <v>39890.97</v>
      </c>
      <c r="H7" s="15" t="s">
        <v>31</v>
      </c>
      <c r="I7" s="2">
        <f ca="1">IFERROR(IF(INDEX(Overview!$K$18:$K$33,MATCH($D$6,Overview!$C$18:$C$33,0))="","",INDEX(Overview!$K$18:$K$33,MATCH($D$6,Overview!$C$18:$C$33,0))),"")</f>
        <v>1.2465928125000001</v>
      </c>
      <c r="J7" s="2"/>
    </row>
    <row r="8" spans="3:17" x14ac:dyDescent="0.35">
      <c r="C8" s="15" t="s">
        <v>27</v>
      </c>
      <c r="D8" s="18">
        <f>IFERROR(IF(INDEX(Overview!$E$18:$E$33,MATCH($D$6,Overview!$C$18:$C$33,0))="","",INDEX(Overview!$E$18:$E$33,MATCH($D$6,Overview!$C$18:$C$33,0))),"")</f>
        <v>46295</v>
      </c>
      <c r="E8" s="15" t="s">
        <v>75</v>
      </c>
      <c r="F8" s="50">
        <f>(COUNTA($C$14:$C$10013)-COUNT($C$14:$C$10013))+(COUNTA($F$14:$F$10013)-COUNT($F$14:$F$10013))</f>
        <v>0</v>
      </c>
      <c r="H8" s="15" t="s">
        <v>22</v>
      </c>
      <c r="I8" s="1" t="str">
        <f ca="1">IFERROR(IF(INDEX(Overview!$L$18:$L$33,MATCH($D$6,Overview!$C$18:$C$33,0))="","",INDEX(Overview!$L$18:$L$33,MATCH($D$6,Overview!$C$18:$C$33,0))),"")</f>
        <v>Overpacing</v>
      </c>
      <c r="J8" s="1"/>
    </row>
    <row r="9" spans="3:17" x14ac:dyDescent="0.35">
      <c r="C9" s="15" t="s">
        <v>76</v>
      </c>
      <c r="D9" s="52">
        <f>IFERROR(IF(INDEX(Overview!$F$18:$F$33,MATCH($D$6,Overview!$C$18:$C$33,0))="","",INDEX(Overview!$F$18:$F$33,MATCH($D$6,Overview!$C$18:$C$33,0))),"")</f>
        <v>40000</v>
      </c>
      <c r="E9" s="15" t="s">
        <v>77</v>
      </c>
      <c r="F9" s="50">
        <f>IF(OR($D$7="",$D$8=""),"",COUNT($C$14:$C$10013)-COUNTIFS($C$14:$C$10013,"&gt;="&amp;$D$7,$C$14:$C$10013,"&lt;="&amp;$D$8))</f>
        <v>0</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101</v>
      </c>
      <c r="E13" s="20" t="s">
        <v>102</v>
      </c>
      <c r="F13" s="20" t="s">
        <v>84</v>
      </c>
      <c r="H13" s="20" t="s">
        <v>85</v>
      </c>
      <c r="I13" s="20" t="s">
        <v>26</v>
      </c>
      <c r="J13" s="20" t="s">
        <v>27</v>
      </c>
      <c r="K13" s="20" t="s">
        <v>76</v>
      </c>
      <c r="L13" s="20" t="s">
        <v>29</v>
      </c>
      <c r="M13" s="20" t="s">
        <v>15</v>
      </c>
      <c r="N13" s="20" t="s">
        <v>31</v>
      </c>
      <c r="O13" s="20" t="s">
        <v>22</v>
      </c>
      <c r="P13" s="20" t="s">
        <v>20</v>
      </c>
      <c r="Q13" s="20" t="s">
        <v>35</v>
      </c>
    </row>
    <row r="14" spans="3:17" x14ac:dyDescent="0.35">
      <c r="C14" s="53">
        <v>46266</v>
      </c>
      <c r="D14" s="47" t="s">
        <v>103</v>
      </c>
      <c r="E14" s="47" t="s">
        <v>104</v>
      </c>
      <c r="F14" s="48">
        <v>676</v>
      </c>
      <c r="H14" s="54" t="s">
        <v>104</v>
      </c>
      <c r="I14" s="23">
        <f t="shared" ref="I14:I38" si="0">IF(OR(H14="",$D$7=""),"",$D$7)</f>
        <v>46266</v>
      </c>
      <c r="J14" s="23">
        <f t="shared" ref="J14:J38" si="1">IF(OR(H14="",$D$8=""),"",$D$8)</f>
        <v>46295</v>
      </c>
      <c r="K14" s="24">
        <v>16000</v>
      </c>
      <c r="L14" s="25">
        <f t="shared" ref="L14:L38" si="2">IF(OR(H14="",I14="",J14=""),"",SUMIFS($F$14:$F$10013,$E$14:$E$10013,H14,$C$14:$C$10013,"&gt;="&amp;I14,$C$14:$C$10013,"&lt;="&amp;J14))</f>
        <v>15847.310000000001</v>
      </c>
      <c r="M14" s="18">
        <f t="shared" ref="M14:M38" si="3">IF(L14="","",IF(COUNTIFS($E$14:$E$10013,H14,$C$14:$C$10013,"&gt;="&amp;I14,$C$14:$C$10013,"&lt;="&amp;J14)=0,"",_xlfn.MAXIFS($C$14:$C$10013,$E$14:$E$10013,H14,$C$14:$C$10013,"&gt;="&amp;I14,$C$14:$C$10013,"&lt;="&amp;J14)))</f>
        <v>46289</v>
      </c>
      <c r="N14" s="26">
        <f t="shared" ref="N14:N38" si="4">IF(OR(M14="",K14="",K14=0),"",(L14/K14)/((M14-I14+1)/(J14-I14+1)))</f>
        <v>1.2380710937500001</v>
      </c>
      <c r="O14" s="27" t="str">
        <f>IF(N14="","",IF(N14-1&gt;Overview!$G$7,"Overpacing",IF(1-N14&gt;Overview!$G$7,"Underpacing",IF(N14-1&gt;Overview!$G$6,"Slightly over",IF(1-N14&gt;Overview!$G$6,"Slightly under","On pace")))))</f>
        <v>Overpacing</v>
      </c>
      <c r="P14" s="25">
        <f t="shared" ref="P14:P38" si="5">IF(OR(L14="",K14=""),"",K14-L14)</f>
        <v>152.68999999999869</v>
      </c>
      <c r="Q14" s="25">
        <f t="shared" ref="Q14:Q38" si="6">IF(P14="","",IF(M14="",MAX(0,P14)/(J14-I14+1),IF(J14-M14&lt;=0,"",MAX(0,P14)/(J14-M14))))</f>
        <v>25.448333333333114</v>
      </c>
    </row>
    <row r="15" spans="3:17" x14ac:dyDescent="0.35">
      <c r="C15" s="53">
        <v>46266</v>
      </c>
      <c r="D15" s="47" t="s">
        <v>103</v>
      </c>
      <c r="E15" s="47" t="s">
        <v>105</v>
      </c>
      <c r="F15" s="48">
        <v>644.47</v>
      </c>
      <c r="H15" s="54" t="s">
        <v>105</v>
      </c>
      <c r="I15" s="23">
        <f t="shared" si="0"/>
        <v>46266</v>
      </c>
      <c r="J15" s="23">
        <f t="shared" si="1"/>
        <v>46295</v>
      </c>
      <c r="K15" s="24">
        <v>14000</v>
      </c>
      <c r="L15" s="25">
        <f t="shared" si="2"/>
        <v>14218.250000000002</v>
      </c>
      <c r="M15" s="18">
        <f t="shared" si="3"/>
        <v>46289</v>
      </c>
      <c r="N15" s="26">
        <f t="shared" si="4"/>
        <v>1.2694866071428572</v>
      </c>
      <c r="O15" s="27" t="str">
        <f>IF(N15="","",IF(N15-1&gt;Overview!$G$7,"Overpacing",IF(1-N15&gt;Overview!$G$7,"Underpacing",IF(N15-1&gt;Overview!$G$6,"Slightly over",IF(1-N15&gt;Overview!$G$6,"Slightly under","On pace")))))</f>
        <v>Overpacing</v>
      </c>
      <c r="P15" s="25">
        <f t="shared" si="5"/>
        <v>-218.25000000000182</v>
      </c>
      <c r="Q15" s="25">
        <f t="shared" si="6"/>
        <v>0</v>
      </c>
    </row>
    <row r="16" spans="3:17" x14ac:dyDescent="0.35">
      <c r="C16" s="53">
        <v>46266</v>
      </c>
      <c r="D16" s="47" t="s">
        <v>103</v>
      </c>
      <c r="E16" s="47" t="s">
        <v>106</v>
      </c>
      <c r="F16" s="48">
        <v>348.21</v>
      </c>
      <c r="H16" s="54" t="s">
        <v>106</v>
      </c>
      <c r="I16" s="23">
        <f t="shared" si="0"/>
        <v>46266</v>
      </c>
      <c r="J16" s="23">
        <f t="shared" si="1"/>
        <v>46295</v>
      </c>
      <c r="K16" s="24">
        <v>10000</v>
      </c>
      <c r="L16" s="25">
        <f t="shared" si="2"/>
        <v>9825.409999999998</v>
      </c>
      <c r="M16" s="18">
        <f t="shared" si="3"/>
        <v>46289</v>
      </c>
      <c r="N16" s="26">
        <f t="shared" si="4"/>
        <v>1.2281762499999997</v>
      </c>
      <c r="O16" s="27" t="str">
        <f>IF(N16="","",IF(N16-1&gt;Overview!$G$7,"Overpacing",IF(1-N16&gt;Overview!$G$7,"Underpacing",IF(N16-1&gt;Overview!$G$6,"Slightly over",IF(1-N16&gt;Overview!$G$6,"Slightly under","On pace")))))</f>
        <v>Overpacing</v>
      </c>
      <c r="P16" s="25">
        <f t="shared" si="5"/>
        <v>174.59000000000196</v>
      </c>
      <c r="Q16" s="25">
        <f t="shared" si="6"/>
        <v>29.09833333333366</v>
      </c>
    </row>
    <row r="17" spans="3:17" x14ac:dyDescent="0.35">
      <c r="C17" s="53">
        <v>46267</v>
      </c>
      <c r="D17" s="47" t="s">
        <v>103</v>
      </c>
      <c r="E17" s="47" t="s">
        <v>104</v>
      </c>
      <c r="F17" s="48">
        <v>677.28</v>
      </c>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3:17" x14ac:dyDescent="0.35">
      <c r="C18" s="53">
        <v>46267</v>
      </c>
      <c r="D18" s="47" t="s">
        <v>103</v>
      </c>
      <c r="E18" s="47" t="s">
        <v>105</v>
      </c>
      <c r="F18" s="48">
        <v>520.45000000000005</v>
      </c>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3:17" x14ac:dyDescent="0.35">
      <c r="C19" s="53">
        <v>46267</v>
      </c>
      <c r="D19" s="47" t="s">
        <v>103</v>
      </c>
      <c r="E19" s="47" t="s">
        <v>106</v>
      </c>
      <c r="F19" s="48">
        <v>376.45</v>
      </c>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3:17" x14ac:dyDescent="0.35">
      <c r="C20" s="53">
        <v>46268</v>
      </c>
      <c r="D20" s="47" t="s">
        <v>103</v>
      </c>
      <c r="E20" s="47" t="s">
        <v>104</v>
      </c>
      <c r="F20" s="48">
        <v>733.36</v>
      </c>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3:17" x14ac:dyDescent="0.35">
      <c r="C21" s="53">
        <v>46268</v>
      </c>
      <c r="D21" s="47" t="s">
        <v>103</v>
      </c>
      <c r="E21" s="47" t="s">
        <v>105</v>
      </c>
      <c r="F21" s="48">
        <v>580.45000000000005</v>
      </c>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3:17" x14ac:dyDescent="0.35">
      <c r="C22" s="53">
        <v>46268</v>
      </c>
      <c r="D22" s="47" t="s">
        <v>103</v>
      </c>
      <c r="E22" s="47" t="s">
        <v>106</v>
      </c>
      <c r="F22" s="48">
        <v>423.54</v>
      </c>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3:17" x14ac:dyDescent="0.35">
      <c r="C23" s="53">
        <v>46269</v>
      </c>
      <c r="D23" s="47" t="s">
        <v>103</v>
      </c>
      <c r="E23" s="47" t="s">
        <v>104</v>
      </c>
      <c r="F23" s="48">
        <v>730.11</v>
      </c>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3:17" x14ac:dyDescent="0.35">
      <c r="C24" s="53">
        <v>46269</v>
      </c>
      <c r="D24" s="47" t="s">
        <v>103</v>
      </c>
      <c r="E24" s="47" t="s">
        <v>105</v>
      </c>
      <c r="F24" s="48">
        <v>674.14</v>
      </c>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3:17" x14ac:dyDescent="0.35">
      <c r="C25" s="53">
        <v>46269</v>
      </c>
      <c r="D25" s="47" t="s">
        <v>103</v>
      </c>
      <c r="E25" s="47" t="s">
        <v>106</v>
      </c>
      <c r="F25" s="48">
        <v>403.95</v>
      </c>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3:17" x14ac:dyDescent="0.35">
      <c r="C26" s="53">
        <v>46270</v>
      </c>
      <c r="D26" s="47" t="s">
        <v>103</v>
      </c>
      <c r="E26" s="47" t="s">
        <v>104</v>
      </c>
      <c r="F26" s="48">
        <v>691.1</v>
      </c>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3:17" x14ac:dyDescent="0.35">
      <c r="C27" s="53">
        <v>46270</v>
      </c>
      <c r="D27" s="47" t="s">
        <v>103</v>
      </c>
      <c r="E27" s="47" t="s">
        <v>105</v>
      </c>
      <c r="F27" s="48">
        <v>579.95000000000005</v>
      </c>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3:17" x14ac:dyDescent="0.35">
      <c r="C28" s="53">
        <v>46270</v>
      </c>
      <c r="D28" s="47" t="s">
        <v>103</v>
      </c>
      <c r="E28" s="47" t="s">
        <v>106</v>
      </c>
      <c r="F28" s="48">
        <v>415.34</v>
      </c>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3:17" x14ac:dyDescent="0.35">
      <c r="C29" s="53">
        <v>46271</v>
      </c>
      <c r="D29" s="47" t="s">
        <v>103</v>
      </c>
      <c r="E29" s="47" t="s">
        <v>104</v>
      </c>
      <c r="F29" s="48">
        <v>712.32</v>
      </c>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3:17" x14ac:dyDescent="0.35">
      <c r="C30" s="53">
        <v>46271</v>
      </c>
      <c r="D30" s="47" t="s">
        <v>103</v>
      </c>
      <c r="E30" s="47" t="s">
        <v>105</v>
      </c>
      <c r="F30" s="48">
        <v>567.64</v>
      </c>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3:17" x14ac:dyDescent="0.35">
      <c r="C31" s="53">
        <v>46271</v>
      </c>
      <c r="D31" s="47" t="s">
        <v>103</v>
      </c>
      <c r="E31" s="47" t="s">
        <v>106</v>
      </c>
      <c r="F31" s="48">
        <v>418.84</v>
      </c>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3:17" x14ac:dyDescent="0.35">
      <c r="C32" s="53">
        <v>46272</v>
      </c>
      <c r="D32" s="47" t="s">
        <v>103</v>
      </c>
      <c r="E32" s="47" t="s">
        <v>104</v>
      </c>
      <c r="F32" s="48">
        <v>655.52</v>
      </c>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3:17" x14ac:dyDescent="0.35">
      <c r="C33" s="53">
        <v>46272</v>
      </c>
      <c r="D33" s="47" t="s">
        <v>103</v>
      </c>
      <c r="E33" s="47" t="s">
        <v>105</v>
      </c>
      <c r="F33" s="48">
        <v>680.86</v>
      </c>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3:17" x14ac:dyDescent="0.35">
      <c r="C34" s="53">
        <v>46272</v>
      </c>
      <c r="D34" s="47" t="s">
        <v>103</v>
      </c>
      <c r="E34" s="47" t="s">
        <v>106</v>
      </c>
      <c r="F34" s="48">
        <v>446.27</v>
      </c>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3:17" x14ac:dyDescent="0.35">
      <c r="C35" s="53">
        <v>46273</v>
      </c>
      <c r="D35" s="47" t="s">
        <v>103</v>
      </c>
      <c r="E35" s="47" t="s">
        <v>104</v>
      </c>
      <c r="F35" s="48">
        <v>760.94</v>
      </c>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3:17" x14ac:dyDescent="0.35">
      <c r="C36" s="53">
        <v>46273</v>
      </c>
      <c r="D36" s="47" t="s">
        <v>103</v>
      </c>
      <c r="E36" s="47" t="s">
        <v>105</v>
      </c>
      <c r="F36" s="48">
        <v>681.02</v>
      </c>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3:17" x14ac:dyDescent="0.35">
      <c r="C37" s="53">
        <v>46273</v>
      </c>
      <c r="D37" s="47" t="s">
        <v>103</v>
      </c>
      <c r="E37" s="47" t="s">
        <v>106</v>
      </c>
      <c r="F37" s="48">
        <v>373.59</v>
      </c>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3:17" x14ac:dyDescent="0.35">
      <c r="C38" s="53">
        <v>46274</v>
      </c>
      <c r="D38" s="47" t="s">
        <v>103</v>
      </c>
      <c r="E38" s="47" t="s">
        <v>104</v>
      </c>
      <c r="F38" s="48">
        <v>677.08</v>
      </c>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row r="39" spans="3:17" x14ac:dyDescent="0.35">
      <c r="C39" s="53">
        <v>46274</v>
      </c>
      <c r="D39" s="47" t="s">
        <v>103</v>
      </c>
      <c r="E39" s="47" t="s">
        <v>105</v>
      </c>
      <c r="F39" s="48">
        <v>681.27</v>
      </c>
    </row>
    <row r="40" spans="3:17" x14ac:dyDescent="0.35">
      <c r="C40" s="53">
        <v>46274</v>
      </c>
      <c r="D40" s="47" t="s">
        <v>103</v>
      </c>
      <c r="E40" s="47" t="s">
        <v>106</v>
      </c>
      <c r="F40" s="48">
        <v>469.55</v>
      </c>
    </row>
    <row r="41" spans="3:17" x14ac:dyDescent="0.35">
      <c r="C41" s="53">
        <v>46275</v>
      </c>
      <c r="D41" s="47" t="s">
        <v>103</v>
      </c>
      <c r="E41" s="47" t="s">
        <v>104</v>
      </c>
      <c r="F41" s="48">
        <v>565.34</v>
      </c>
    </row>
    <row r="42" spans="3:17" x14ac:dyDescent="0.35">
      <c r="C42" s="53">
        <v>46275</v>
      </c>
      <c r="D42" s="47" t="s">
        <v>103</v>
      </c>
      <c r="E42" s="47" t="s">
        <v>105</v>
      </c>
      <c r="F42" s="48">
        <v>491.08</v>
      </c>
    </row>
    <row r="43" spans="3:17" x14ac:dyDescent="0.35">
      <c r="C43" s="53">
        <v>46275</v>
      </c>
      <c r="D43" s="47" t="s">
        <v>103</v>
      </c>
      <c r="E43" s="47" t="s">
        <v>106</v>
      </c>
      <c r="F43" s="48">
        <v>403.76</v>
      </c>
    </row>
    <row r="44" spans="3:17" x14ac:dyDescent="0.35">
      <c r="C44" s="53">
        <v>46276</v>
      </c>
      <c r="D44" s="47" t="s">
        <v>103</v>
      </c>
      <c r="E44" s="47" t="s">
        <v>104</v>
      </c>
      <c r="F44" s="48">
        <v>548.26</v>
      </c>
    </row>
    <row r="45" spans="3:17" x14ac:dyDescent="0.35">
      <c r="C45" s="53">
        <v>46276</v>
      </c>
      <c r="D45" s="47" t="s">
        <v>103</v>
      </c>
      <c r="E45" s="47" t="s">
        <v>105</v>
      </c>
      <c r="F45" s="48">
        <v>518.63</v>
      </c>
    </row>
    <row r="46" spans="3:17" x14ac:dyDescent="0.35">
      <c r="C46" s="53">
        <v>46276</v>
      </c>
      <c r="D46" s="47" t="s">
        <v>103</v>
      </c>
      <c r="E46" s="47" t="s">
        <v>106</v>
      </c>
      <c r="F46" s="48">
        <v>342.76</v>
      </c>
    </row>
    <row r="47" spans="3:17" x14ac:dyDescent="0.35">
      <c r="C47" s="53">
        <v>46277</v>
      </c>
      <c r="D47" s="47" t="s">
        <v>103</v>
      </c>
      <c r="E47" s="47" t="s">
        <v>104</v>
      </c>
      <c r="F47" s="48">
        <v>706.16</v>
      </c>
    </row>
    <row r="48" spans="3:17" x14ac:dyDescent="0.35">
      <c r="C48" s="53">
        <v>46277</v>
      </c>
      <c r="D48" s="47" t="s">
        <v>103</v>
      </c>
      <c r="E48" s="47" t="s">
        <v>105</v>
      </c>
      <c r="F48" s="48">
        <v>644.39</v>
      </c>
    </row>
    <row r="49" spans="3:6" x14ac:dyDescent="0.35">
      <c r="C49" s="53">
        <v>46277</v>
      </c>
      <c r="D49" s="47" t="s">
        <v>103</v>
      </c>
      <c r="E49" s="47" t="s">
        <v>106</v>
      </c>
      <c r="F49" s="48">
        <v>478.98</v>
      </c>
    </row>
    <row r="50" spans="3:6" x14ac:dyDescent="0.35">
      <c r="C50" s="53">
        <v>46278</v>
      </c>
      <c r="D50" s="47" t="s">
        <v>103</v>
      </c>
      <c r="E50" s="47" t="s">
        <v>104</v>
      </c>
      <c r="F50" s="48">
        <v>569.91999999999996</v>
      </c>
    </row>
    <row r="51" spans="3:6" x14ac:dyDescent="0.35">
      <c r="C51" s="53">
        <v>46278</v>
      </c>
      <c r="D51" s="47" t="s">
        <v>103</v>
      </c>
      <c r="E51" s="47" t="s">
        <v>105</v>
      </c>
      <c r="F51" s="48">
        <v>628.69000000000005</v>
      </c>
    </row>
    <row r="52" spans="3:6" x14ac:dyDescent="0.35">
      <c r="C52" s="53">
        <v>46278</v>
      </c>
      <c r="D52" s="47" t="s">
        <v>103</v>
      </c>
      <c r="E52" s="47" t="s">
        <v>106</v>
      </c>
      <c r="F52" s="48">
        <v>439.83</v>
      </c>
    </row>
    <row r="53" spans="3:6" x14ac:dyDescent="0.35">
      <c r="C53" s="53">
        <v>46279</v>
      </c>
      <c r="D53" s="47" t="s">
        <v>103</v>
      </c>
      <c r="E53" s="47" t="s">
        <v>104</v>
      </c>
      <c r="F53" s="48">
        <v>566.89</v>
      </c>
    </row>
    <row r="54" spans="3:6" x14ac:dyDescent="0.35">
      <c r="C54" s="53">
        <v>46279</v>
      </c>
      <c r="D54" s="47" t="s">
        <v>103</v>
      </c>
      <c r="E54" s="47" t="s">
        <v>105</v>
      </c>
      <c r="F54" s="48">
        <v>667.28</v>
      </c>
    </row>
    <row r="55" spans="3:6" x14ac:dyDescent="0.35">
      <c r="C55" s="53">
        <v>46279</v>
      </c>
      <c r="D55" s="47" t="s">
        <v>103</v>
      </c>
      <c r="E55" s="47" t="s">
        <v>106</v>
      </c>
      <c r="F55" s="48">
        <v>490.63</v>
      </c>
    </row>
    <row r="56" spans="3:6" x14ac:dyDescent="0.35">
      <c r="C56" s="53">
        <v>46280</v>
      </c>
      <c r="D56" s="47" t="s">
        <v>103</v>
      </c>
      <c r="E56" s="47" t="s">
        <v>104</v>
      </c>
      <c r="F56" s="48">
        <v>587.15</v>
      </c>
    </row>
    <row r="57" spans="3:6" x14ac:dyDescent="0.35">
      <c r="C57" s="53">
        <v>46280</v>
      </c>
      <c r="D57" s="47" t="s">
        <v>103</v>
      </c>
      <c r="E57" s="47" t="s">
        <v>105</v>
      </c>
      <c r="F57" s="48">
        <v>683.41</v>
      </c>
    </row>
    <row r="58" spans="3:6" x14ac:dyDescent="0.35">
      <c r="C58" s="53">
        <v>46280</v>
      </c>
      <c r="D58" s="47" t="s">
        <v>103</v>
      </c>
      <c r="E58" s="47" t="s">
        <v>106</v>
      </c>
      <c r="F58" s="48">
        <v>396.51</v>
      </c>
    </row>
    <row r="59" spans="3:6" x14ac:dyDescent="0.35">
      <c r="C59" s="53">
        <v>46281</v>
      </c>
      <c r="D59" s="47" t="s">
        <v>103</v>
      </c>
      <c r="E59" s="47" t="s">
        <v>104</v>
      </c>
      <c r="F59" s="48">
        <v>657.96</v>
      </c>
    </row>
    <row r="60" spans="3:6" x14ac:dyDescent="0.35">
      <c r="C60" s="53">
        <v>46281</v>
      </c>
      <c r="D60" s="47" t="s">
        <v>103</v>
      </c>
      <c r="E60" s="47" t="s">
        <v>105</v>
      </c>
      <c r="F60" s="48">
        <v>692.06</v>
      </c>
    </row>
    <row r="61" spans="3:6" x14ac:dyDescent="0.35">
      <c r="C61" s="53">
        <v>46281</v>
      </c>
      <c r="D61" s="47" t="s">
        <v>103</v>
      </c>
      <c r="E61" s="47" t="s">
        <v>106</v>
      </c>
      <c r="F61" s="48">
        <v>468.3</v>
      </c>
    </row>
    <row r="62" spans="3:6" x14ac:dyDescent="0.35">
      <c r="C62" s="53">
        <v>46282</v>
      </c>
      <c r="D62" s="47" t="s">
        <v>103</v>
      </c>
      <c r="E62" s="47" t="s">
        <v>104</v>
      </c>
      <c r="F62" s="48">
        <v>571.78</v>
      </c>
    </row>
    <row r="63" spans="3:6" x14ac:dyDescent="0.35">
      <c r="C63" s="53">
        <v>46282</v>
      </c>
      <c r="D63" s="47" t="s">
        <v>103</v>
      </c>
      <c r="E63" s="47" t="s">
        <v>105</v>
      </c>
      <c r="F63" s="48">
        <v>562.82000000000005</v>
      </c>
    </row>
    <row r="64" spans="3:6" x14ac:dyDescent="0.35">
      <c r="C64" s="53">
        <v>46282</v>
      </c>
      <c r="D64" s="47" t="s">
        <v>103</v>
      </c>
      <c r="E64" s="47" t="s">
        <v>106</v>
      </c>
      <c r="F64" s="48">
        <v>415.91</v>
      </c>
    </row>
    <row r="65" spans="3:6" x14ac:dyDescent="0.35">
      <c r="C65" s="53">
        <v>46283</v>
      </c>
      <c r="D65" s="47" t="s">
        <v>103</v>
      </c>
      <c r="E65" s="47" t="s">
        <v>104</v>
      </c>
      <c r="F65" s="48">
        <v>618.77</v>
      </c>
    </row>
    <row r="66" spans="3:6" x14ac:dyDescent="0.35">
      <c r="C66" s="53">
        <v>46283</v>
      </c>
      <c r="D66" s="47" t="s">
        <v>103</v>
      </c>
      <c r="E66" s="47" t="s">
        <v>105</v>
      </c>
      <c r="F66" s="48">
        <v>508.24</v>
      </c>
    </row>
    <row r="67" spans="3:6" x14ac:dyDescent="0.35">
      <c r="C67" s="53">
        <v>46283</v>
      </c>
      <c r="D67" s="47" t="s">
        <v>103</v>
      </c>
      <c r="E67" s="47" t="s">
        <v>106</v>
      </c>
      <c r="F67" s="48">
        <v>383.33</v>
      </c>
    </row>
    <row r="68" spans="3:6" x14ac:dyDescent="0.35">
      <c r="C68" s="53">
        <v>46284</v>
      </c>
      <c r="D68" s="47" t="s">
        <v>103</v>
      </c>
      <c r="E68" s="47" t="s">
        <v>104</v>
      </c>
      <c r="F68" s="48">
        <v>720.1</v>
      </c>
    </row>
    <row r="69" spans="3:6" x14ac:dyDescent="0.35">
      <c r="C69" s="53">
        <v>46284</v>
      </c>
      <c r="D69" s="47" t="s">
        <v>103</v>
      </c>
      <c r="E69" s="47" t="s">
        <v>105</v>
      </c>
      <c r="F69" s="48">
        <v>467.44</v>
      </c>
    </row>
    <row r="70" spans="3:6" x14ac:dyDescent="0.35">
      <c r="C70" s="53">
        <v>46284</v>
      </c>
      <c r="D70" s="47" t="s">
        <v>103</v>
      </c>
      <c r="E70" s="47" t="s">
        <v>106</v>
      </c>
      <c r="F70" s="48">
        <v>422.27</v>
      </c>
    </row>
    <row r="71" spans="3:6" x14ac:dyDescent="0.35">
      <c r="C71" s="53">
        <v>46285</v>
      </c>
      <c r="D71" s="47" t="s">
        <v>103</v>
      </c>
      <c r="E71" s="47" t="s">
        <v>104</v>
      </c>
      <c r="F71" s="48">
        <v>645.58000000000004</v>
      </c>
    </row>
    <row r="72" spans="3:6" x14ac:dyDescent="0.35">
      <c r="C72" s="53">
        <v>46285</v>
      </c>
      <c r="D72" s="47" t="s">
        <v>103</v>
      </c>
      <c r="E72" s="47" t="s">
        <v>105</v>
      </c>
      <c r="F72" s="48">
        <v>467.12</v>
      </c>
    </row>
    <row r="73" spans="3:6" x14ac:dyDescent="0.35">
      <c r="C73" s="53">
        <v>46285</v>
      </c>
      <c r="D73" s="47" t="s">
        <v>103</v>
      </c>
      <c r="E73" s="47" t="s">
        <v>106</v>
      </c>
      <c r="F73" s="48">
        <v>385.47</v>
      </c>
    </row>
    <row r="74" spans="3:6" x14ac:dyDescent="0.35">
      <c r="C74" s="53">
        <v>46286</v>
      </c>
      <c r="D74" s="47" t="s">
        <v>103</v>
      </c>
      <c r="E74" s="47" t="s">
        <v>104</v>
      </c>
      <c r="F74" s="48">
        <v>694.12</v>
      </c>
    </row>
    <row r="75" spans="3:6" x14ac:dyDescent="0.35">
      <c r="C75" s="53">
        <v>46286</v>
      </c>
      <c r="D75" s="47" t="s">
        <v>103</v>
      </c>
      <c r="E75" s="47" t="s">
        <v>105</v>
      </c>
      <c r="F75" s="48">
        <v>581.5</v>
      </c>
    </row>
    <row r="76" spans="3:6" x14ac:dyDescent="0.35">
      <c r="C76" s="53">
        <v>46286</v>
      </c>
      <c r="D76" s="47" t="s">
        <v>103</v>
      </c>
      <c r="E76" s="47" t="s">
        <v>106</v>
      </c>
      <c r="F76" s="48">
        <v>341.3</v>
      </c>
    </row>
    <row r="77" spans="3:6" x14ac:dyDescent="0.35">
      <c r="C77" s="53">
        <v>46287</v>
      </c>
      <c r="D77" s="47" t="s">
        <v>103</v>
      </c>
      <c r="E77" s="47" t="s">
        <v>104</v>
      </c>
      <c r="F77" s="48">
        <v>789.65</v>
      </c>
    </row>
    <row r="78" spans="3:6" x14ac:dyDescent="0.35">
      <c r="C78" s="53">
        <v>46287</v>
      </c>
      <c r="D78" s="47" t="s">
        <v>103</v>
      </c>
      <c r="E78" s="47" t="s">
        <v>105</v>
      </c>
      <c r="F78" s="48">
        <v>645.41</v>
      </c>
    </row>
    <row r="79" spans="3:6" x14ac:dyDescent="0.35">
      <c r="C79" s="53">
        <v>46287</v>
      </c>
      <c r="D79" s="47" t="s">
        <v>103</v>
      </c>
      <c r="E79" s="47" t="s">
        <v>106</v>
      </c>
      <c r="F79" s="48">
        <v>491.32</v>
      </c>
    </row>
    <row r="80" spans="3:6" x14ac:dyDescent="0.35">
      <c r="C80" s="53">
        <v>46288</v>
      </c>
      <c r="D80" s="47" t="s">
        <v>103</v>
      </c>
      <c r="E80" s="47" t="s">
        <v>104</v>
      </c>
      <c r="F80" s="48">
        <v>556.78</v>
      </c>
    </row>
    <row r="81" spans="3:6" x14ac:dyDescent="0.35">
      <c r="C81" s="53">
        <v>46288</v>
      </c>
      <c r="D81" s="47" t="s">
        <v>103</v>
      </c>
      <c r="E81" s="47" t="s">
        <v>105</v>
      </c>
      <c r="F81" s="48">
        <v>524.4</v>
      </c>
    </row>
    <row r="82" spans="3:6" x14ac:dyDescent="0.35">
      <c r="C82" s="53">
        <v>46288</v>
      </c>
      <c r="D82" s="47" t="s">
        <v>103</v>
      </c>
      <c r="E82" s="47" t="s">
        <v>106</v>
      </c>
      <c r="F82" s="48">
        <v>337.21</v>
      </c>
    </row>
    <row r="83" spans="3:6" x14ac:dyDescent="0.35">
      <c r="C83" s="53">
        <v>46289</v>
      </c>
      <c r="D83" s="47" t="s">
        <v>103</v>
      </c>
      <c r="E83" s="47" t="s">
        <v>104</v>
      </c>
      <c r="F83" s="48">
        <v>735.14</v>
      </c>
    </row>
    <row r="84" spans="3:6" x14ac:dyDescent="0.35">
      <c r="C84" s="53">
        <v>46289</v>
      </c>
      <c r="D84" s="47" t="s">
        <v>103</v>
      </c>
      <c r="E84" s="47" t="s">
        <v>105</v>
      </c>
      <c r="F84" s="48">
        <v>525.53</v>
      </c>
    </row>
    <row r="85" spans="3:6" x14ac:dyDescent="0.35">
      <c r="C85" s="53">
        <v>46289</v>
      </c>
      <c r="D85" s="47" t="s">
        <v>103</v>
      </c>
      <c r="E85" s="47" t="s">
        <v>106</v>
      </c>
      <c r="F85" s="48">
        <v>352.09</v>
      </c>
    </row>
  </sheetData>
  <mergeCells count="5">
    <mergeCell ref="M2:Q3"/>
    <mergeCell ref="I6:J6"/>
    <mergeCell ref="I7:J7"/>
    <mergeCell ref="I8:J8"/>
    <mergeCell ref="H9:Q9"/>
  </mergeCells>
  <conditionalFormatting sqref="C14:C10013">
    <cfRule type="expression" dxfId="19" priority="7">
      <formula>AND(C14&lt;&gt;"",NOT(ISNUMBER(C14)))</formula>
    </cfRule>
  </conditionalFormatting>
  <conditionalFormatting sqref="C14:F10013">
    <cfRule type="expression" dxfId="18" priority="6">
      <formula>OR(ROW()&lt;54,COUNTA($C14:$F14)&gt;0)</formula>
    </cfRule>
  </conditionalFormatting>
  <conditionalFormatting sqref="F8">
    <cfRule type="expression" dxfId="17" priority="5">
      <formula>$F$8&gt;0</formula>
    </cfRule>
  </conditionalFormatting>
  <conditionalFormatting sqref="F14:F10013">
    <cfRule type="expression" dxfId="16" priority="8">
      <formula>AND(F14&lt;&gt;"",NOT(ISNUMBER(F14)))</formula>
    </cfRule>
  </conditionalFormatting>
  <conditionalFormatting sqref="I7:J8">
    <cfRule type="expression" dxfId="15" priority="2">
      <formula>OR($I$8="Overpacing",$I$8="Underpacing",$I$8="Tab not found")</formula>
    </cfRule>
    <cfRule type="expression" dxfId="14" priority="3">
      <formula>OR($I$8="Slightly over",$I$8="Slightly under")</formula>
    </cfRule>
    <cfRule type="expression" dxfId="13" priority="4">
      <formula>$I$8="On pace"</formula>
    </cfRule>
  </conditionalFormatting>
  <conditionalFormatting sqref="N14:O38">
    <cfRule type="expression" dxfId="12" priority="9">
      <formula>OR($O14="Overpacing",$O14="Underpacing",$O14="Tab not found")</formula>
    </cfRule>
    <cfRule type="expression" dxfId="11" priority="10">
      <formula>OR($O14="Slightly over",$O14="Slightly under")</formula>
    </cfRule>
    <cfRule type="expression" dxfId="10" priority="11">
      <formula>$O14="On pace"</formula>
    </cfRule>
  </conditionalFormatting>
  <dataValidations count="3">
    <dataValidation type="custom" showInputMessage="1" promptTitle="Channel name" prompt="Must match this tab's name and the name in the Overview Channel column." sqref="D6" xr:uid="{00000000-0002-0000-0800-000000000000}">
      <formula1>1</formula1>
      <formula2>0</formula2>
    </dataValidation>
    <dataValidation type="date" operator="greaterThan" showErrorMessage="1" error="Enter a date" sqref="I14:J38" xr:uid="{00000000-0002-0000-0800-000001000000}">
      <formula1>1</formula1>
      <formula2>0</formula2>
    </dataValidation>
    <dataValidation type="decimal" operator="greaterThanOrEqual" showErrorMessage="1" error="Enter a number" sqref="K14:K38" xr:uid="{00000000-0002-0000-08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2:Q38"/>
  <sheetViews>
    <sheetView showGridLines="0" zoomScaleNormal="100" workbookViewId="0">
      <pane ySplit="13" topLeftCell="A14" activePane="bottomLeft" state="frozen"/>
      <selection pane="bottomLeft"/>
    </sheetView>
  </sheetViews>
  <sheetFormatPr defaultColWidth="8.6328125" defaultRowHeight="14.5" x14ac:dyDescent="0.35"/>
  <cols>
    <col min="1" max="1" width="1.26953125" customWidth="1"/>
    <col min="2" max="2" width="3" customWidth="1"/>
    <col min="3" max="3" width="13" style="46" customWidth="1"/>
    <col min="4" max="4" width="26" style="47" customWidth="1"/>
    <col min="5" max="5" width="30" style="47" customWidth="1"/>
    <col min="6" max="6" width="14" style="48" customWidth="1"/>
    <col min="7" max="7" width="3" customWidth="1"/>
    <col min="8" max="8" width="30" customWidth="1"/>
    <col min="9" max="10" width="12.453125" customWidth="1"/>
    <col min="11" max="12" width="13" customWidth="1"/>
    <col min="13" max="13" width="12.453125" customWidth="1"/>
    <col min="14" max="14" width="10" customWidth="1"/>
    <col min="15" max="15" width="15" customWidth="1"/>
    <col min="16" max="17" width="13" customWidth="1"/>
  </cols>
  <sheetData>
    <row r="2" spans="3:17" x14ac:dyDescent="0.35">
      <c r="M2" s="14" t="str">
        <f>$D$6</f>
        <v>Other</v>
      </c>
      <c r="N2" s="14"/>
      <c r="O2" s="14"/>
      <c r="P2" s="14"/>
      <c r="Q2" s="14"/>
    </row>
    <row r="3" spans="3:17" x14ac:dyDescent="0.35">
      <c r="M3" s="14"/>
      <c r="N3" s="14"/>
      <c r="O3" s="14"/>
      <c r="P3" s="14"/>
      <c r="Q3" s="14"/>
    </row>
    <row r="6" spans="3:17" x14ac:dyDescent="0.35">
      <c r="C6" s="15" t="s">
        <v>71</v>
      </c>
      <c r="D6" s="49" t="s">
        <v>47</v>
      </c>
      <c r="E6" s="15" t="s">
        <v>72</v>
      </c>
      <c r="F6" s="50">
        <f>COUNTA($C$14:$C$10013)</f>
        <v>0</v>
      </c>
      <c r="H6" s="15" t="s">
        <v>73</v>
      </c>
      <c r="I6" s="3" t="str">
        <f ca="1">IFERROR(IF(INDEX(Overview!$H$18:$H$33,MATCH($D$6,Overview!$C$18:$C$33,0))="","",INDEX(Overview!$H$18:$H$33,MATCH($D$6,Overview!$C$18:$C$33,0))),"")</f>
        <v/>
      </c>
      <c r="J6" s="3"/>
    </row>
    <row r="7" spans="3:17" x14ac:dyDescent="0.35">
      <c r="C7" s="15" t="s">
        <v>26</v>
      </c>
      <c r="D7" s="18" t="str">
        <f>IFERROR(IF(INDEX(Overview!$D$18:$D$33,MATCH($D$6,Overview!$C$18:$C$33,0))="","",INDEX(Overview!$D$18:$D$33,MATCH($D$6,Overview!$C$18:$C$33,0))),"")</f>
        <v/>
      </c>
      <c r="E7" s="15" t="s">
        <v>74</v>
      </c>
      <c r="F7" s="51">
        <f>SUM($F$14:$F$10013)</f>
        <v>0</v>
      </c>
      <c r="H7" s="15" t="s">
        <v>31</v>
      </c>
      <c r="I7" s="2" t="str">
        <f ca="1">IFERROR(IF(INDEX(Overview!$K$18:$K$33,MATCH($D$6,Overview!$C$18:$C$33,0))="","",INDEX(Overview!$K$18:$K$33,MATCH($D$6,Overview!$C$18:$C$33,0))),"")</f>
        <v/>
      </c>
      <c r="J7" s="2"/>
    </row>
    <row r="8" spans="3:17" x14ac:dyDescent="0.35">
      <c r="C8" s="15" t="s">
        <v>27</v>
      </c>
      <c r="D8" s="18" t="str">
        <f>IFERROR(IF(INDEX(Overview!$E$18:$E$33,MATCH($D$6,Overview!$C$18:$C$33,0))="","",INDEX(Overview!$E$18:$E$33,MATCH($D$6,Overview!$C$18:$C$33,0))),"")</f>
        <v/>
      </c>
      <c r="E8" s="15" t="s">
        <v>75</v>
      </c>
      <c r="F8" s="50">
        <f>(COUNTA($C$14:$C$10013)-COUNT($C$14:$C$10013))+(COUNTA($F$14:$F$10013)-COUNT($F$14:$F$10013))</f>
        <v>0</v>
      </c>
      <c r="H8" s="15" t="s">
        <v>22</v>
      </c>
      <c r="I8" s="1" t="str">
        <f ca="1">IFERROR(IF(INDEX(Overview!$L$18:$L$33,MATCH($D$6,Overview!$C$18:$C$33,0))="","",INDEX(Overview!$L$18:$L$33,MATCH($D$6,Overview!$C$18:$C$33,0))),"")</f>
        <v/>
      </c>
      <c r="J8" s="1"/>
    </row>
    <row r="9" spans="3:17" x14ac:dyDescent="0.35">
      <c r="C9" s="15" t="s">
        <v>76</v>
      </c>
      <c r="D9" s="52" t="str">
        <f>IFERROR(IF(INDEX(Overview!$F$18:$F$33,MATCH($D$6,Overview!$C$18:$C$33,0))="","",INDEX(Overview!$F$18:$F$33,MATCH($D$6,Overview!$C$18:$C$33,0))),"")</f>
        <v/>
      </c>
      <c r="E9" s="15" t="s">
        <v>77</v>
      </c>
      <c r="F9" s="50" t="str">
        <f>IF(OR($D$7="",$D$8=""),"",COUNT($C$14:$C$10013)-COUNTIFS($C$14:$C$10013,"&gt;="&amp;$D$7,$C$14:$C$10013,"&lt;="&amp;$D$8))</f>
        <v/>
      </c>
      <c r="H9" s="55" t="str">
        <f>IF(ISNUMBER(MATCH($D$6,Overview!$C$18:$C$32,0)),"","Not linked yet: type "&amp;CHAR(34)&amp;$D$6&amp;CHAR(34)&amp;" into the Channel column on the Overview.")</f>
        <v/>
      </c>
      <c r="I9" s="55"/>
      <c r="J9" s="55"/>
      <c r="K9" s="55"/>
      <c r="L9" s="55"/>
      <c r="M9" s="55"/>
      <c r="N9" s="55"/>
      <c r="O9" s="55"/>
      <c r="P9" s="55"/>
      <c r="Q9" s="55"/>
    </row>
    <row r="11" spans="3:17" ht="18.5" x14ac:dyDescent="0.45">
      <c r="C11" s="19" t="s">
        <v>78</v>
      </c>
      <c r="H11" s="19" t="s">
        <v>79</v>
      </c>
    </row>
    <row r="12" spans="3:17" x14ac:dyDescent="0.35">
      <c r="C12" s="41" t="s">
        <v>80</v>
      </c>
      <c r="H12" s="41" t="s">
        <v>81</v>
      </c>
    </row>
    <row r="13" spans="3:17" ht="30" customHeight="1" x14ac:dyDescent="0.35">
      <c r="C13" s="20" t="s">
        <v>65</v>
      </c>
      <c r="D13" s="20" t="s">
        <v>82</v>
      </c>
      <c r="E13" s="20" t="s">
        <v>107</v>
      </c>
      <c r="F13" s="20" t="s">
        <v>84</v>
      </c>
      <c r="H13" s="20" t="s">
        <v>85</v>
      </c>
      <c r="I13" s="20" t="s">
        <v>26</v>
      </c>
      <c r="J13" s="20" t="s">
        <v>27</v>
      </c>
      <c r="K13" s="20" t="s">
        <v>76</v>
      </c>
      <c r="L13" s="20" t="s">
        <v>29</v>
      </c>
      <c r="M13" s="20" t="s">
        <v>15</v>
      </c>
      <c r="N13" s="20" t="s">
        <v>31</v>
      </c>
      <c r="O13" s="20" t="s">
        <v>22</v>
      </c>
      <c r="P13" s="20" t="s">
        <v>20</v>
      </c>
      <c r="Q13" s="20" t="s">
        <v>35</v>
      </c>
    </row>
    <row r="14" spans="3:17" x14ac:dyDescent="0.35">
      <c r="H14" s="54"/>
      <c r="I14" s="23" t="str">
        <f t="shared" ref="I14:I38" si="0">IF(OR(H14="",$D$7=""),"",$D$7)</f>
        <v/>
      </c>
      <c r="J14" s="23" t="str">
        <f t="shared" ref="J14:J38" si="1">IF(OR(H14="",$D$8=""),"",$D$8)</f>
        <v/>
      </c>
      <c r="K14" s="24"/>
      <c r="L14" s="25" t="str">
        <f t="shared" ref="L14:L38" si="2">IF(OR(H14="",I14="",J14=""),"",SUMIFS($F$14:$F$10013,$E$14:$E$10013,H14,$C$14:$C$10013,"&gt;="&amp;I14,$C$14:$C$10013,"&lt;="&amp;J14))</f>
        <v/>
      </c>
      <c r="M14" s="18" t="str">
        <f t="shared" ref="M14:M38" si="3">IF(L14="","",IF(COUNTIFS($E$14:$E$10013,H14,$C$14:$C$10013,"&gt;="&amp;I14,$C$14:$C$10013,"&lt;="&amp;J14)=0,"",_xlfn.MAXIFS($C$14:$C$10013,$E$14:$E$10013,H14,$C$14:$C$10013,"&gt;="&amp;I14,$C$14:$C$10013,"&lt;="&amp;J14)))</f>
        <v/>
      </c>
      <c r="N14" s="26" t="str">
        <f t="shared" ref="N14:N38" si="4">IF(OR(M14="",K14="",K14=0),"",(L14/K14)/((M14-I14+1)/(J14-I14+1)))</f>
        <v/>
      </c>
      <c r="O14" s="27" t="str">
        <f>IF(N14="","",IF(N14-1&gt;Overview!$G$7,"Overpacing",IF(1-N14&gt;Overview!$G$7,"Underpacing",IF(N14-1&gt;Overview!$G$6,"Slightly over",IF(1-N14&gt;Overview!$G$6,"Slightly under","On pace")))))</f>
        <v/>
      </c>
      <c r="P14" s="25" t="str">
        <f t="shared" ref="P14:P38" si="5">IF(OR(L14="",K14=""),"",K14-L14)</f>
        <v/>
      </c>
      <c r="Q14" s="25" t="str">
        <f t="shared" ref="Q14:Q38" si="6">IF(P14="","",IF(M14="",MAX(0,P14)/(J14-I14+1),IF(J14-M14&lt;=0,"",MAX(0,P14)/(J14-M14))))</f>
        <v/>
      </c>
    </row>
    <row r="15" spans="3:17" x14ac:dyDescent="0.35">
      <c r="H15" s="54"/>
      <c r="I15" s="23" t="str">
        <f t="shared" si="0"/>
        <v/>
      </c>
      <c r="J15" s="23" t="str">
        <f t="shared" si="1"/>
        <v/>
      </c>
      <c r="K15" s="24"/>
      <c r="L15" s="25" t="str">
        <f t="shared" si="2"/>
        <v/>
      </c>
      <c r="M15" s="18" t="str">
        <f t="shared" si="3"/>
        <v/>
      </c>
      <c r="N15" s="26" t="str">
        <f t="shared" si="4"/>
        <v/>
      </c>
      <c r="O15" s="27" t="str">
        <f>IF(N15="","",IF(N15-1&gt;Overview!$G$7,"Overpacing",IF(1-N15&gt;Overview!$G$7,"Underpacing",IF(N15-1&gt;Overview!$G$6,"Slightly over",IF(1-N15&gt;Overview!$G$6,"Slightly under","On pace")))))</f>
        <v/>
      </c>
      <c r="P15" s="25" t="str">
        <f t="shared" si="5"/>
        <v/>
      </c>
      <c r="Q15" s="25" t="str">
        <f t="shared" si="6"/>
        <v/>
      </c>
    </row>
    <row r="16" spans="3:17" x14ac:dyDescent="0.35">
      <c r="H16" s="54"/>
      <c r="I16" s="23" t="str">
        <f t="shared" si="0"/>
        <v/>
      </c>
      <c r="J16" s="23" t="str">
        <f t="shared" si="1"/>
        <v/>
      </c>
      <c r="K16" s="24"/>
      <c r="L16" s="25" t="str">
        <f t="shared" si="2"/>
        <v/>
      </c>
      <c r="M16" s="18" t="str">
        <f t="shared" si="3"/>
        <v/>
      </c>
      <c r="N16" s="26" t="str">
        <f t="shared" si="4"/>
        <v/>
      </c>
      <c r="O16" s="27" t="str">
        <f>IF(N16="","",IF(N16-1&gt;Overview!$G$7,"Overpacing",IF(1-N16&gt;Overview!$G$7,"Underpacing",IF(N16-1&gt;Overview!$G$6,"Slightly over",IF(1-N16&gt;Overview!$G$6,"Slightly under","On pace")))))</f>
        <v/>
      </c>
      <c r="P16" s="25" t="str">
        <f t="shared" si="5"/>
        <v/>
      </c>
      <c r="Q16" s="25" t="str">
        <f t="shared" si="6"/>
        <v/>
      </c>
    </row>
    <row r="17" spans="8:17" x14ac:dyDescent="0.35">
      <c r="H17" s="54"/>
      <c r="I17" s="23" t="str">
        <f t="shared" si="0"/>
        <v/>
      </c>
      <c r="J17" s="23" t="str">
        <f t="shared" si="1"/>
        <v/>
      </c>
      <c r="K17" s="24"/>
      <c r="L17" s="25" t="str">
        <f t="shared" si="2"/>
        <v/>
      </c>
      <c r="M17" s="18" t="str">
        <f t="shared" si="3"/>
        <v/>
      </c>
      <c r="N17" s="26" t="str">
        <f t="shared" si="4"/>
        <v/>
      </c>
      <c r="O17" s="27" t="str">
        <f>IF(N17="","",IF(N17-1&gt;Overview!$G$7,"Overpacing",IF(1-N17&gt;Overview!$G$7,"Underpacing",IF(N17-1&gt;Overview!$G$6,"Slightly over",IF(1-N17&gt;Overview!$G$6,"Slightly under","On pace")))))</f>
        <v/>
      </c>
      <c r="P17" s="25" t="str">
        <f t="shared" si="5"/>
        <v/>
      </c>
      <c r="Q17" s="25" t="str">
        <f t="shared" si="6"/>
        <v/>
      </c>
    </row>
    <row r="18" spans="8:17" x14ac:dyDescent="0.35">
      <c r="H18" s="54"/>
      <c r="I18" s="23" t="str">
        <f t="shared" si="0"/>
        <v/>
      </c>
      <c r="J18" s="23" t="str">
        <f t="shared" si="1"/>
        <v/>
      </c>
      <c r="K18" s="24"/>
      <c r="L18" s="25" t="str">
        <f t="shared" si="2"/>
        <v/>
      </c>
      <c r="M18" s="18" t="str">
        <f t="shared" si="3"/>
        <v/>
      </c>
      <c r="N18" s="26" t="str">
        <f t="shared" si="4"/>
        <v/>
      </c>
      <c r="O18" s="27" t="str">
        <f>IF(N18="","",IF(N18-1&gt;Overview!$G$7,"Overpacing",IF(1-N18&gt;Overview!$G$7,"Underpacing",IF(N18-1&gt;Overview!$G$6,"Slightly over",IF(1-N18&gt;Overview!$G$6,"Slightly under","On pace")))))</f>
        <v/>
      </c>
      <c r="P18" s="25" t="str">
        <f t="shared" si="5"/>
        <v/>
      </c>
      <c r="Q18" s="25" t="str">
        <f t="shared" si="6"/>
        <v/>
      </c>
    </row>
    <row r="19" spans="8:17" x14ac:dyDescent="0.35">
      <c r="H19" s="54"/>
      <c r="I19" s="23" t="str">
        <f t="shared" si="0"/>
        <v/>
      </c>
      <c r="J19" s="23" t="str">
        <f t="shared" si="1"/>
        <v/>
      </c>
      <c r="K19" s="24"/>
      <c r="L19" s="25" t="str">
        <f t="shared" si="2"/>
        <v/>
      </c>
      <c r="M19" s="18" t="str">
        <f t="shared" si="3"/>
        <v/>
      </c>
      <c r="N19" s="26" t="str">
        <f t="shared" si="4"/>
        <v/>
      </c>
      <c r="O19" s="27" t="str">
        <f>IF(N19="","",IF(N19-1&gt;Overview!$G$7,"Overpacing",IF(1-N19&gt;Overview!$G$7,"Underpacing",IF(N19-1&gt;Overview!$G$6,"Slightly over",IF(1-N19&gt;Overview!$G$6,"Slightly under","On pace")))))</f>
        <v/>
      </c>
      <c r="P19" s="25" t="str">
        <f t="shared" si="5"/>
        <v/>
      </c>
      <c r="Q19" s="25" t="str">
        <f t="shared" si="6"/>
        <v/>
      </c>
    </row>
    <row r="20" spans="8:17" x14ac:dyDescent="0.35">
      <c r="H20" s="54"/>
      <c r="I20" s="23" t="str">
        <f t="shared" si="0"/>
        <v/>
      </c>
      <c r="J20" s="23" t="str">
        <f t="shared" si="1"/>
        <v/>
      </c>
      <c r="K20" s="24"/>
      <c r="L20" s="25" t="str">
        <f t="shared" si="2"/>
        <v/>
      </c>
      <c r="M20" s="18" t="str">
        <f t="shared" si="3"/>
        <v/>
      </c>
      <c r="N20" s="26" t="str">
        <f t="shared" si="4"/>
        <v/>
      </c>
      <c r="O20" s="27" t="str">
        <f>IF(N20="","",IF(N20-1&gt;Overview!$G$7,"Overpacing",IF(1-N20&gt;Overview!$G$7,"Underpacing",IF(N20-1&gt;Overview!$G$6,"Slightly over",IF(1-N20&gt;Overview!$G$6,"Slightly under","On pace")))))</f>
        <v/>
      </c>
      <c r="P20" s="25" t="str">
        <f t="shared" si="5"/>
        <v/>
      </c>
      <c r="Q20" s="25" t="str">
        <f t="shared" si="6"/>
        <v/>
      </c>
    </row>
    <row r="21" spans="8:17" x14ac:dyDescent="0.35">
      <c r="H21" s="54"/>
      <c r="I21" s="23" t="str">
        <f t="shared" si="0"/>
        <v/>
      </c>
      <c r="J21" s="23" t="str">
        <f t="shared" si="1"/>
        <v/>
      </c>
      <c r="K21" s="24"/>
      <c r="L21" s="25" t="str">
        <f t="shared" si="2"/>
        <v/>
      </c>
      <c r="M21" s="18" t="str">
        <f t="shared" si="3"/>
        <v/>
      </c>
      <c r="N21" s="26" t="str">
        <f t="shared" si="4"/>
        <v/>
      </c>
      <c r="O21" s="27" t="str">
        <f>IF(N21="","",IF(N21-1&gt;Overview!$G$7,"Overpacing",IF(1-N21&gt;Overview!$G$7,"Underpacing",IF(N21-1&gt;Overview!$G$6,"Slightly over",IF(1-N21&gt;Overview!$G$6,"Slightly under","On pace")))))</f>
        <v/>
      </c>
      <c r="P21" s="25" t="str">
        <f t="shared" si="5"/>
        <v/>
      </c>
      <c r="Q21" s="25" t="str">
        <f t="shared" si="6"/>
        <v/>
      </c>
    </row>
    <row r="22" spans="8:17" x14ac:dyDescent="0.35">
      <c r="H22" s="54"/>
      <c r="I22" s="23" t="str">
        <f t="shared" si="0"/>
        <v/>
      </c>
      <c r="J22" s="23" t="str">
        <f t="shared" si="1"/>
        <v/>
      </c>
      <c r="K22" s="24"/>
      <c r="L22" s="25" t="str">
        <f t="shared" si="2"/>
        <v/>
      </c>
      <c r="M22" s="18" t="str">
        <f t="shared" si="3"/>
        <v/>
      </c>
      <c r="N22" s="26" t="str">
        <f t="shared" si="4"/>
        <v/>
      </c>
      <c r="O22" s="27" t="str">
        <f>IF(N22="","",IF(N22-1&gt;Overview!$G$7,"Overpacing",IF(1-N22&gt;Overview!$G$7,"Underpacing",IF(N22-1&gt;Overview!$G$6,"Slightly over",IF(1-N22&gt;Overview!$G$6,"Slightly under","On pace")))))</f>
        <v/>
      </c>
      <c r="P22" s="25" t="str">
        <f t="shared" si="5"/>
        <v/>
      </c>
      <c r="Q22" s="25" t="str">
        <f t="shared" si="6"/>
        <v/>
      </c>
    </row>
    <row r="23" spans="8:17" x14ac:dyDescent="0.35">
      <c r="H23" s="54"/>
      <c r="I23" s="23" t="str">
        <f t="shared" si="0"/>
        <v/>
      </c>
      <c r="J23" s="23" t="str">
        <f t="shared" si="1"/>
        <v/>
      </c>
      <c r="K23" s="24"/>
      <c r="L23" s="25" t="str">
        <f t="shared" si="2"/>
        <v/>
      </c>
      <c r="M23" s="18" t="str">
        <f t="shared" si="3"/>
        <v/>
      </c>
      <c r="N23" s="26" t="str">
        <f t="shared" si="4"/>
        <v/>
      </c>
      <c r="O23" s="27" t="str">
        <f>IF(N23="","",IF(N23-1&gt;Overview!$G$7,"Overpacing",IF(1-N23&gt;Overview!$G$7,"Underpacing",IF(N23-1&gt;Overview!$G$6,"Slightly over",IF(1-N23&gt;Overview!$G$6,"Slightly under","On pace")))))</f>
        <v/>
      </c>
      <c r="P23" s="25" t="str">
        <f t="shared" si="5"/>
        <v/>
      </c>
      <c r="Q23" s="25" t="str">
        <f t="shared" si="6"/>
        <v/>
      </c>
    </row>
    <row r="24" spans="8:17" x14ac:dyDescent="0.35">
      <c r="H24" s="54"/>
      <c r="I24" s="23" t="str">
        <f t="shared" si="0"/>
        <v/>
      </c>
      <c r="J24" s="23" t="str">
        <f t="shared" si="1"/>
        <v/>
      </c>
      <c r="K24" s="24"/>
      <c r="L24" s="25" t="str">
        <f t="shared" si="2"/>
        <v/>
      </c>
      <c r="M24" s="18" t="str">
        <f t="shared" si="3"/>
        <v/>
      </c>
      <c r="N24" s="26" t="str">
        <f t="shared" si="4"/>
        <v/>
      </c>
      <c r="O24" s="27" t="str">
        <f>IF(N24="","",IF(N24-1&gt;Overview!$G$7,"Overpacing",IF(1-N24&gt;Overview!$G$7,"Underpacing",IF(N24-1&gt;Overview!$G$6,"Slightly over",IF(1-N24&gt;Overview!$G$6,"Slightly under","On pace")))))</f>
        <v/>
      </c>
      <c r="P24" s="25" t="str">
        <f t="shared" si="5"/>
        <v/>
      </c>
      <c r="Q24" s="25" t="str">
        <f t="shared" si="6"/>
        <v/>
      </c>
    </row>
    <row r="25" spans="8:17" x14ac:dyDescent="0.35">
      <c r="H25" s="54"/>
      <c r="I25" s="23" t="str">
        <f t="shared" si="0"/>
        <v/>
      </c>
      <c r="J25" s="23" t="str">
        <f t="shared" si="1"/>
        <v/>
      </c>
      <c r="K25" s="24"/>
      <c r="L25" s="25" t="str">
        <f t="shared" si="2"/>
        <v/>
      </c>
      <c r="M25" s="18" t="str">
        <f t="shared" si="3"/>
        <v/>
      </c>
      <c r="N25" s="26" t="str">
        <f t="shared" si="4"/>
        <v/>
      </c>
      <c r="O25" s="27" t="str">
        <f>IF(N25="","",IF(N25-1&gt;Overview!$G$7,"Overpacing",IF(1-N25&gt;Overview!$G$7,"Underpacing",IF(N25-1&gt;Overview!$G$6,"Slightly over",IF(1-N25&gt;Overview!$G$6,"Slightly under","On pace")))))</f>
        <v/>
      </c>
      <c r="P25" s="25" t="str">
        <f t="shared" si="5"/>
        <v/>
      </c>
      <c r="Q25" s="25" t="str">
        <f t="shared" si="6"/>
        <v/>
      </c>
    </row>
    <row r="26" spans="8:17" x14ac:dyDescent="0.35">
      <c r="H26" s="54"/>
      <c r="I26" s="23" t="str">
        <f t="shared" si="0"/>
        <v/>
      </c>
      <c r="J26" s="23" t="str">
        <f t="shared" si="1"/>
        <v/>
      </c>
      <c r="K26" s="24"/>
      <c r="L26" s="25" t="str">
        <f t="shared" si="2"/>
        <v/>
      </c>
      <c r="M26" s="18" t="str">
        <f t="shared" si="3"/>
        <v/>
      </c>
      <c r="N26" s="26" t="str">
        <f t="shared" si="4"/>
        <v/>
      </c>
      <c r="O26" s="27" t="str">
        <f>IF(N26="","",IF(N26-1&gt;Overview!$G$7,"Overpacing",IF(1-N26&gt;Overview!$G$7,"Underpacing",IF(N26-1&gt;Overview!$G$6,"Slightly over",IF(1-N26&gt;Overview!$G$6,"Slightly under","On pace")))))</f>
        <v/>
      </c>
      <c r="P26" s="25" t="str">
        <f t="shared" si="5"/>
        <v/>
      </c>
      <c r="Q26" s="25" t="str">
        <f t="shared" si="6"/>
        <v/>
      </c>
    </row>
    <row r="27" spans="8:17" x14ac:dyDescent="0.35">
      <c r="H27" s="54"/>
      <c r="I27" s="23" t="str">
        <f t="shared" si="0"/>
        <v/>
      </c>
      <c r="J27" s="23" t="str">
        <f t="shared" si="1"/>
        <v/>
      </c>
      <c r="K27" s="24"/>
      <c r="L27" s="25" t="str">
        <f t="shared" si="2"/>
        <v/>
      </c>
      <c r="M27" s="18" t="str">
        <f t="shared" si="3"/>
        <v/>
      </c>
      <c r="N27" s="26" t="str">
        <f t="shared" si="4"/>
        <v/>
      </c>
      <c r="O27" s="27" t="str">
        <f>IF(N27="","",IF(N27-1&gt;Overview!$G$7,"Overpacing",IF(1-N27&gt;Overview!$G$7,"Underpacing",IF(N27-1&gt;Overview!$G$6,"Slightly over",IF(1-N27&gt;Overview!$G$6,"Slightly under","On pace")))))</f>
        <v/>
      </c>
      <c r="P27" s="25" t="str">
        <f t="shared" si="5"/>
        <v/>
      </c>
      <c r="Q27" s="25" t="str">
        <f t="shared" si="6"/>
        <v/>
      </c>
    </row>
    <row r="28" spans="8:17" x14ac:dyDescent="0.35">
      <c r="H28" s="54"/>
      <c r="I28" s="23" t="str">
        <f t="shared" si="0"/>
        <v/>
      </c>
      <c r="J28" s="23" t="str">
        <f t="shared" si="1"/>
        <v/>
      </c>
      <c r="K28" s="24"/>
      <c r="L28" s="25" t="str">
        <f t="shared" si="2"/>
        <v/>
      </c>
      <c r="M28" s="18" t="str">
        <f t="shared" si="3"/>
        <v/>
      </c>
      <c r="N28" s="26" t="str">
        <f t="shared" si="4"/>
        <v/>
      </c>
      <c r="O28" s="27" t="str">
        <f>IF(N28="","",IF(N28-1&gt;Overview!$G$7,"Overpacing",IF(1-N28&gt;Overview!$G$7,"Underpacing",IF(N28-1&gt;Overview!$G$6,"Slightly over",IF(1-N28&gt;Overview!$G$6,"Slightly under","On pace")))))</f>
        <v/>
      </c>
      <c r="P28" s="25" t="str">
        <f t="shared" si="5"/>
        <v/>
      </c>
      <c r="Q28" s="25" t="str">
        <f t="shared" si="6"/>
        <v/>
      </c>
    </row>
    <row r="29" spans="8:17" x14ac:dyDescent="0.35">
      <c r="H29" s="54"/>
      <c r="I29" s="23" t="str">
        <f t="shared" si="0"/>
        <v/>
      </c>
      <c r="J29" s="23" t="str">
        <f t="shared" si="1"/>
        <v/>
      </c>
      <c r="K29" s="24"/>
      <c r="L29" s="25" t="str">
        <f t="shared" si="2"/>
        <v/>
      </c>
      <c r="M29" s="18" t="str">
        <f t="shared" si="3"/>
        <v/>
      </c>
      <c r="N29" s="26" t="str">
        <f t="shared" si="4"/>
        <v/>
      </c>
      <c r="O29" s="27" t="str">
        <f>IF(N29="","",IF(N29-1&gt;Overview!$G$7,"Overpacing",IF(1-N29&gt;Overview!$G$7,"Underpacing",IF(N29-1&gt;Overview!$G$6,"Slightly over",IF(1-N29&gt;Overview!$G$6,"Slightly under","On pace")))))</f>
        <v/>
      </c>
      <c r="P29" s="25" t="str">
        <f t="shared" si="5"/>
        <v/>
      </c>
      <c r="Q29" s="25" t="str">
        <f t="shared" si="6"/>
        <v/>
      </c>
    </row>
    <row r="30" spans="8:17" x14ac:dyDescent="0.35">
      <c r="H30" s="54"/>
      <c r="I30" s="23" t="str">
        <f t="shared" si="0"/>
        <v/>
      </c>
      <c r="J30" s="23" t="str">
        <f t="shared" si="1"/>
        <v/>
      </c>
      <c r="K30" s="24"/>
      <c r="L30" s="25" t="str">
        <f t="shared" si="2"/>
        <v/>
      </c>
      <c r="M30" s="18" t="str">
        <f t="shared" si="3"/>
        <v/>
      </c>
      <c r="N30" s="26" t="str">
        <f t="shared" si="4"/>
        <v/>
      </c>
      <c r="O30" s="27" t="str">
        <f>IF(N30="","",IF(N30-1&gt;Overview!$G$7,"Overpacing",IF(1-N30&gt;Overview!$G$7,"Underpacing",IF(N30-1&gt;Overview!$G$6,"Slightly over",IF(1-N30&gt;Overview!$G$6,"Slightly under","On pace")))))</f>
        <v/>
      </c>
      <c r="P30" s="25" t="str">
        <f t="shared" si="5"/>
        <v/>
      </c>
      <c r="Q30" s="25" t="str">
        <f t="shared" si="6"/>
        <v/>
      </c>
    </row>
    <row r="31" spans="8:17" x14ac:dyDescent="0.35">
      <c r="H31" s="54"/>
      <c r="I31" s="23" t="str">
        <f t="shared" si="0"/>
        <v/>
      </c>
      <c r="J31" s="23" t="str">
        <f t="shared" si="1"/>
        <v/>
      </c>
      <c r="K31" s="24"/>
      <c r="L31" s="25" t="str">
        <f t="shared" si="2"/>
        <v/>
      </c>
      <c r="M31" s="18" t="str">
        <f t="shared" si="3"/>
        <v/>
      </c>
      <c r="N31" s="26" t="str">
        <f t="shared" si="4"/>
        <v/>
      </c>
      <c r="O31" s="27" t="str">
        <f>IF(N31="","",IF(N31-1&gt;Overview!$G$7,"Overpacing",IF(1-N31&gt;Overview!$G$7,"Underpacing",IF(N31-1&gt;Overview!$G$6,"Slightly over",IF(1-N31&gt;Overview!$G$6,"Slightly under","On pace")))))</f>
        <v/>
      </c>
      <c r="P31" s="25" t="str">
        <f t="shared" si="5"/>
        <v/>
      </c>
      <c r="Q31" s="25" t="str">
        <f t="shared" si="6"/>
        <v/>
      </c>
    </row>
    <row r="32" spans="8:17" x14ac:dyDescent="0.35">
      <c r="H32" s="54"/>
      <c r="I32" s="23" t="str">
        <f t="shared" si="0"/>
        <v/>
      </c>
      <c r="J32" s="23" t="str">
        <f t="shared" si="1"/>
        <v/>
      </c>
      <c r="K32" s="24"/>
      <c r="L32" s="25" t="str">
        <f t="shared" si="2"/>
        <v/>
      </c>
      <c r="M32" s="18" t="str">
        <f t="shared" si="3"/>
        <v/>
      </c>
      <c r="N32" s="26" t="str">
        <f t="shared" si="4"/>
        <v/>
      </c>
      <c r="O32" s="27" t="str">
        <f>IF(N32="","",IF(N32-1&gt;Overview!$G$7,"Overpacing",IF(1-N32&gt;Overview!$G$7,"Underpacing",IF(N32-1&gt;Overview!$G$6,"Slightly over",IF(1-N32&gt;Overview!$G$6,"Slightly under","On pace")))))</f>
        <v/>
      </c>
      <c r="P32" s="25" t="str">
        <f t="shared" si="5"/>
        <v/>
      </c>
      <c r="Q32" s="25" t="str">
        <f t="shared" si="6"/>
        <v/>
      </c>
    </row>
    <row r="33" spans="8:17" x14ac:dyDescent="0.35">
      <c r="H33" s="54"/>
      <c r="I33" s="23" t="str">
        <f t="shared" si="0"/>
        <v/>
      </c>
      <c r="J33" s="23" t="str">
        <f t="shared" si="1"/>
        <v/>
      </c>
      <c r="K33" s="24"/>
      <c r="L33" s="25" t="str">
        <f t="shared" si="2"/>
        <v/>
      </c>
      <c r="M33" s="18" t="str">
        <f t="shared" si="3"/>
        <v/>
      </c>
      <c r="N33" s="26" t="str">
        <f t="shared" si="4"/>
        <v/>
      </c>
      <c r="O33" s="27" t="str">
        <f>IF(N33="","",IF(N33-1&gt;Overview!$G$7,"Overpacing",IF(1-N33&gt;Overview!$G$7,"Underpacing",IF(N33-1&gt;Overview!$G$6,"Slightly over",IF(1-N33&gt;Overview!$G$6,"Slightly under","On pace")))))</f>
        <v/>
      </c>
      <c r="P33" s="25" t="str">
        <f t="shared" si="5"/>
        <v/>
      </c>
      <c r="Q33" s="25" t="str">
        <f t="shared" si="6"/>
        <v/>
      </c>
    </row>
    <row r="34" spans="8:17" x14ac:dyDescent="0.35">
      <c r="H34" s="54"/>
      <c r="I34" s="23" t="str">
        <f t="shared" si="0"/>
        <v/>
      </c>
      <c r="J34" s="23" t="str">
        <f t="shared" si="1"/>
        <v/>
      </c>
      <c r="K34" s="24"/>
      <c r="L34" s="25" t="str">
        <f t="shared" si="2"/>
        <v/>
      </c>
      <c r="M34" s="18" t="str">
        <f t="shared" si="3"/>
        <v/>
      </c>
      <c r="N34" s="26" t="str">
        <f t="shared" si="4"/>
        <v/>
      </c>
      <c r="O34" s="27" t="str">
        <f>IF(N34="","",IF(N34-1&gt;Overview!$G$7,"Overpacing",IF(1-N34&gt;Overview!$G$7,"Underpacing",IF(N34-1&gt;Overview!$G$6,"Slightly over",IF(1-N34&gt;Overview!$G$6,"Slightly under","On pace")))))</f>
        <v/>
      </c>
      <c r="P34" s="25" t="str">
        <f t="shared" si="5"/>
        <v/>
      </c>
      <c r="Q34" s="25" t="str">
        <f t="shared" si="6"/>
        <v/>
      </c>
    </row>
    <row r="35" spans="8:17" x14ac:dyDescent="0.35">
      <c r="H35" s="54"/>
      <c r="I35" s="23" t="str">
        <f t="shared" si="0"/>
        <v/>
      </c>
      <c r="J35" s="23" t="str">
        <f t="shared" si="1"/>
        <v/>
      </c>
      <c r="K35" s="24"/>
      <c r="L35" s="25" t="str">
        <f t="shared" si="2"/>
        <v/>
      </c>
      <c r="M35" s="18" t="str">
        <f t="shared" si="3"/>
        <v/>
      </c>
      <c r="N35" s="26" t="str">
        <f t="shared" si="4"/>
        <v/>
      </c>
      <c r="O35" s="27" t="str">
        <f>IF(N35="","",IF(N35-1&gt;Overview!$G$7,"Overpacing",IF(1-N35&gt;Overview!$G$7,"Underpacing",IF(N35-1&gt;Overview!$G$6,"Slightly over",IF(1-N35&gt;Overview!$G$6,"Slightly under","On pace")))))</f>
        <v/>
      </c>
      <c r="P35" s="25" t="str">
        <f t="shared" si="5"/>
        <v/>
      </c>
      <c r="Q35" s="25" t="str">
        <f t="shared" si="6"/>
        <v/>
      </c>
    </row>
    <row r="36" spans="8:17" x14ac:dyDescent="0.35">
      <c r="H36" s="54"/>
      <c r="I36" s="23" t="str">
        <f t="shared" si="0"/>
        <v/>
      </c>
      <c r="J36" s="23" t="str">
        <f t="shared" si="1"/>
        <v/>
      </c>
      <c r="K36" s="24"/>
      <c r="L36" s="25" t="str">
        <f t="shared" si="2"/>
        <v/>
      </c>
      <c r="M36" s="18" t="str">
        <f t="shared" si="3"/>
        <v/>
      </c>
      <c r="N36" s="26" t="str">
        <f t="shared" si="4"/>
        <v/>
      </c>
      <c r="O36" s="27" t="str">
        <f>IF(N36="","",IF(N36-1&gt;Overview!$G$7,"Overpacing",IF(1-N36&gt;Overview!$G$7,"Underpacing",IF(N36-1&gt;Overview!$G$6,"Slightly over",IF(1-N36&gt;Overview!$G$6,"Slightly under","On pace")))))</f>
        <v/>
      </c>
      <c r="P36" s="25" t="str">
        <f t="shared" si="5"/>
        <v/>
      </c>
      <c r="Q36" s="25" t="str">
        <f t="shared" si="6"/>
        <v/>
      </c>
    </row>
    <row r="37" spans="8:17" x14ac:dyDescent="0.35">
      <c r="H37" s="54"/>
      <c r="I37" s="23" t="str">
        <f t="shared" si="0"/>
        <v/>
      </c>
      <c r="J37" s="23" t="str">
        <f t="shared" si="1"/>
        <v/>
      </c>
      <c r="K37" s="24"/>
      <c r="L37" s="25" t="str">
        <f t="shared" si="2"/>
        <v/>
      </c>
      <c r="M37" s="18" t="str">
        <f t="shared" si="3"/>
        <v/>
      </c>
      <c r="N37" s="26" t="str">
        <f t="shared" si="4"/>
        <v/>
      </c>
      <c r="O37" s="27" t="str">
        <f>IF(N37="","",IF(N37-1&gt;Overview!$G$7,"Overpacing",IF(1-N37&gt;Overview!$G$7,"Underpacing",IF(N37-1&gt;Overview!$G$6,"Slightly over",IF(1-N37&gt;Overview!$G$6,"Slightly under","On pace")))))</f>
        <v/>
      </c>
      <c r="P37" s="25" t="str">
        <f t="shared" si="5"/>
        <v/>
      </c>
      <c r="Q37" s="25" t="str">
        <f t="shared" si="6"/>
        <v/>
      </c>
    </row>
    <row r="38" spans="8:17" x14ac:dyDescent="0.35">
      <c r="H38" s="54"/>
      <c r="I38" s="23" t="str">
        <f t="shared" si="0"/>
        <v/>
      </c>
      <c r="J38" s="23" t="str">
        <f t="shared" si="1"/>
        <v/>
      </c>
      <c r="K38" s="24"/>
      <c r="L38" s="25" t="str">
        <f t="shared" si="2"/>
        <v/>
      </c>
      <c r="M38" s="18" t="str">
        <f t="shared" si="3"/>
        <v/>
      </c>
      <c r="N38" s="26" t="str">
        <f t="shared" si="4"/>
        <v/>
      </c>
      <c r="O38" s="27" t="str">
        <f>IF(N38="","",IF(N38-1&gt;Overview!$G$7,"Overpacing",IF(1-N38&gt;Overview!$G$7,"Underpacing",IF(N38-1&gt;Overview!$G$6,"Slightly over",IF(1-N38&gt;Overview!$G$6,"Slightly under","On pace")))))</f>
        <v/>
      </c>
      <c r="P38" s="25" t="str">
        <f t="shared" si="5"/>
        <v/>
      </c>
      <c r="Q38" s="25" t="str">
        <f t="shared" si="6"/>
        <v/>
      </c>
    </row>
  </sheetData>
  <mergeCells count="5">
    <mergeCell ref="M2:Q3"/>
    <mergeCell ref="I6:J6"/>
    <mergeCell ref="I7:J7"/>
    <mergeCell ref="I8:J8"/>
    <mergeCell ref="H9:Q9"/>
  </mergeCells>
  <conditionalFormatting sqref="C14:C10013">
    <cfRule type="expression" dxfId="9" priority="7">
      <formula>AND(C14&lt;&gt;"",NOT(ISNUMBER(C14)))</formula>
    </cfRule>
  </conditionalFormatting>
  <conditionalFormatting sqref="C14:F10013">
    <cfRule type="expression" dxfId="8" priority="6">
      <formula>OR(ROW()&lt;54,COUNTA($C14:$F14)&gt;0)</formula>
    </cfRule>
  </conditionalFormatting>
  <conditionalFormatting sqref="F8">
    <cfRule type="expression" dxfId="7" priority="5">
      <formula>$F$8&gt;0</formula>
    </cfRule>
  </conditionalFormatting>
  <conditionalFormatting sqref="F14:F10013">
    <cfRule type="expression" dxfId="6" priority="8">
      <formula>AND(F14&lt;&gt;"",NOT(ISNUMBER(F14)))</formula>
    </cfRule>
  </conditionalFormatting>
  <conditionalFormatting sqref="I7:J8">
    <cfRule type="expression" dxfId="5" priority="2">
      <formula>OR($I$8="Overpacing",$I$8="Underpacing",$I$8="Tab not found")</formula>
    </cfRule>
    <cfRule type="expression" dxfId="4" priority="3">
      <formula>OR($I$8="Slightly over",$I$8="Slightly under")</formula>
    </cfRule>
    <cfRule type="expression" dxfId="3" priority="4">
      <formula>$I$8="On pace"</formula>
    </cfRule>
  </conditionalFormatting>
  <conditionalFormatting sqref="N14:O38">
    <cfRule type="expression" dxfId="2" priority="9">
      <formula>OR($O14="Overpacing",$O14="Underpacing",$O14="Tab not found")</formula>
    </cfRule>
    <cfRule type="expression" dxfId="1" priority="10">
      <formula>OR($O14="Slightly over",$O14="Slightly under")</formula>
    </cfRule>
    <cfRule type="expression" dxfId="0" priority="11">
      <formula>$O14="On pace"</formula>
    </cfRule>
  </conditionalFormatting>
  <dataValidations count="3">
    <dataValidation type="custom" showInputMessage="1" promptTitle="Channel name" prompt="Must match this tab's name and the name in the Overview Channel column." sqref="D6" xr:uid="{00000000-0002-0000-0900-000000000000}">
      <formula1>1</formula1>
      <formula2>0</formula2>
    </dataValidation>
    <dataValidation type="date" operator="greaterThan" showErrorMessage="1" error="Enter a date" sqref="I14:J38" xr:uid="{00000000-0002-0000-0900-000001000000}">
      <formula1>1</formula1>
      <formula2>0</formula2>
    </dataValidation>
    <dataValidation type="decimal" operator="greaterThanOrEqual" showErrorMessage="1" error="Enter a number" sqref="K14:K38" xr:uid="{00000000-0002-0000-0900-000002000000}">
      <formula1>0</formula1>
      <formula2>0</formula2>
    </dataValidation>
  </dataValidation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Overview</vt:lpstr>
      <vt:lpstr>Daily</vt:lpstr>
      <vt:lpstr>Meta</vt:lpstr>
      <vt:lpstr>TikTok</vt:lpstr>
      <vt:lpstr>LinkedIn</vt:lpstr>
      <vt:lpstr>Pinterest</vt:lpstr>
      <vt:lpstr>Google Ads</vt:lpstr>
      <vt:lpstr>Microsoft Ads</vt:lpstr>
      <vt:lpstr>Programmatic</vt:lpstr>
      <vt:lpstr>Other</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James</cp:lastModifiedBy>
  <cp:revision>0</cp:revision>
  <dcterms:created xsi:type="dcterms:W3CDTF">2026-09-25T10:08:31Z</dcterms:created>
  <dcterms:modified xsi:type="dcterms:W3CDTF">2026-09-26T04:07:06Z</dcterms:modified>
  <dc:language>en-US</dc:language>
</cp:coreProperties>
</file>