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https://ellmannconsultingcom.sharepoint.com/sites/ECStudien/Freigegebene Dokumente/0000_VALIGNA/00_Produkte/01_Sprint_Businessplan/01_Vorlagen/"/>
    </mc:Choice>
  </mc:AlternateContent>
  <xr:revisionPtr revIDLastSave="1887" documentId="13_ncr:1_{31E07DBE-F24A-441E-8008-67C99453FD27}" xr6:coauthVersionLast="47" xr6:coauthVersionMax="47" xr10:uidLastSave="{244A7D35-0B44-4FA8-97ED-D4E348ED13CE}"/>
  <bookViews>
    <workbookView xWindow="1500" yWindow="660" windowWidth="27900" windowHeight="18460" xr2:uid="{FD46BDC5-FFB8-4AD2-8325-5790750AE657}"/>
  </bookViews>
  <sheets>
    <sheet name="Cover" sheetId="1" r:id="rId1"/>
    <sheet name="Annahmen-&gt;" sheetId="2" r:id="rId2"/>
    <sheet name="Umsatz | COGS" sheetId="3" r:id="rId3"/>
    <sheet name="HR" sheetId="4" r:id="rId4"/>
    <sheet name="OPEX" sheetId="5" r:id="rId5"/>
    <sheet name="CAPEX" sheetId="6" r:id="rId6"/>
    <sheet name="Finanzierung" sheetId="7" r:id="rId7"/>
    <sheet name="Output-&gt;" sheetId="8" r:id="rId8"/>
    <sheet name="Rentabilitätsplanung" sheetId="12" r:id="rId9"/>
    <sheet name="Umsatz- und Ertragsvorschau" sheetId="9" r:id="rId10"/>
    <sheet name="Liquiditätsplan" sheetId="10" r:id="rId11"/>
    <sheet name="Grafiken" sheetId="13" r:id="rId12"/>
  </sheets>
  <definedNames>
    <definedName name="_xlnm.Print_Area" localSheetId="0">Cover!$A$1:$D$31</definedName>
    <definedName name="_xlnm.Print_Area" localSheetId="10">Liquiditätsplan!$A$74:$N$105</definedName>
    <definedName name="_xlnm.Print_Area" localSheetId="8">Rentabilitätsplanung!$B$2:$E$44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B5" i="1"/>
  <c r="M83" i="10"/>
  <c r="L83" i="10"/>
  <c r="K83" i="10"/>
  <c r="J83" i="10"/>
  <c r="I83" i="10"/>
  <c r="H83" i="10"/>
  <c r="G83" i="10"/>
  <c r="F83" i="10"/>
  <c r="E83" i="10"/>
  <c r="D83" i="10"/>
  <c r="C83" i="10"/>
  <c r="B83" i="10"/>
  <c r="M47" i="10"/>
  <c r="L47" i="10"/>
  <c r="K47" i="10"/>
  <c r="J47" i="10"/>
  <c r="I47" i="10"/>
  <c r="H47" i="10"/>
  <c r="G47" i="10"/>
  <c r="F47" i="10"/>
  <c r="E47" i="10"/>
  <c r="D47" i="10"/>
  <c r="C47" i="10"/>
  <c r="B47" i="10"/>
  <c r="C11" i="10"/>
  <c r="D11" i="10"/>
  <c r="E11" i="10"/>
  <c r="F11" i="10"/>
  <c r="G11" i="10"/>
  <c r="H11" i="10"/>
  <c r="I11" i="10"/>
  <c r="J11" i="10"/>
  <c r="K11" i="10"/>
  <c r="L11" i="10"/>
  <c r="M11" i="10"/>
  <c r="B11" i="10"/>
  <c r="G29" i="7"/>
  <c r="B7" i="10"/>
  <c r="G2" i="7"/>
  <c r="G2" i="6"/>
  <c r="A2" i="7"/>
  <c r="E6" i="12" l="1"/>
  <c r="D6" i="12"/>
  <c r="C6" i="12"/>
  <c r="C4" i="12"/>
  <c r="L103" i="10" l="1"/>
  <c r="K103" i="10"/>
  <c r="J103" i="10"/>
  <c r="I103" i="10"/>
  <c r="H103" i="10"/>
  <c r="G103" i="10"/>
  <c r="F103" i="10"/>
  <c r="E103" i="10"/>
  <c r="D103" i="10"/>
  <c r="C103" i="10"/>
  <c r="B103" i="10"/>
  <c r="L67" i="10"/>
  <c r="K67" i="10"/>
  <c r="J67" i="10"/>
  <c r="I67" i="10"/>
  <c r="H67" i="10"/>
  <c r="G67" i="10"/>
  <c r="F67" i="10"/>
  <c r="E67" i="10"/>
  <c r="D67" i="10"/>
  <c r="C67" i="10"/>
  <c r="B67" i="10"/>
  <c r="L31" i="10"/>
  <c r="K31" i="10"/>
  <c r="J31" i="10"/>
  <c r="I31" i="10"/>
  <c r="H31" i="10"/>
  <c r="G31" i="10"/>
  <c r="F31" i="10"/>
  <c r="E31" i="10"/>
  <c r="D31" i="10"/>
  <c r="C31" i="10"/>
  <c r="B31" i="10"/>
  <c r="M101" i="10"/>
  <c r="L101" i="10"/>
  <c r="K101" i="10"/>
  <c r="J101" i="10"/>
  <c r="I101" i="10"/>
  <c r="H101" i="10"/>
  <c r="G101" i="10"/>
  <c r="F101" i="10"/>
  <c r="E101" i="10"/>
  <c r="D101" i="10"/>
  <c r="C101" i="10"/>
  <c r="B101" i="10"/>
  <c r="M65" i="10"/>
  <c r="L65" i="10"/>
  <c r="K65" i="10"/>
  <c r="J65" i="10"/>
  <c r="I65" i="10"/>
  <c r="H65" i="10"/>
  <c r="G65" i="10"/>
  <c r="F65" i="10"/>
  <c r="E65" i="10"/>
  <c r="D65" i="10"/>
  <c r="C65" i="10"/>
  <c r="B65" i="10"/>
  <c r="M29" i="10"/>
  <c r="L29" i="10"/>
  <c r="K29" i="10"/>
  <c r="J29" i="10"/>
  <c r="I29" i="10"/>
  <c r="H29" i="10"/>
  <c r="G29" i="10"/>
  <c r="F29" i="10"/>
  <c r="E29" i="10"/>
  <c r="D29" i="10"/>
  <c r="C29" i="10"/>
  <c r="B29" i="10"/>
  <c r="Q28" i="10"/>
  <c r="F10" i="10"/>
  <c r="B10" i="10"/>
  <c r="B55" i="9"/>
  <c r="B29" i="9"/>
  <c r="B5" i="9"/>
  <c r="C5" i="9" s="1"/>
  <c r="D5" i="9" s="1"/>
  <c r="E5" i="9" s="1"/>
  <c r="F5" i="9" s="1"/>
  <c r="G5" i="9" s="1"/>
  <c r="H5" i="9" s="1"/>
  <c r="I5" i="9" s="1"/>
  <c r="J5" i="9" s="1"/>
  <c r="K5" i="9" s="1"/>
  <c r="L5" i="9" s="1"/>
  <c r="M5" i="9" s="1"/>
  <c r="B31" i="9" s="1"/>
  <c r="C31" i="9" s="1"/>
  <c r="D31" i="9" s="1"/>
  <c r="E31" i="9" s="1"/>
  <c r="F31" i="9" s="1"/>
  <c r="G31" i="9" s="1"/>
  <c r="H31" i="9" s="1"/>
  <c r="I31" i="9" s="1"/>
  <c r="J31" i="9" s="1"/>
  <c r="K31" i="9" s="1"/>
  <c r="L31" i="9" s="1"/>
  <c r="M31" i="9" s="1"/>
  <c r="B57" i="9" s="1"/>
  <c r="B3" i="9"/>
  <c r="B75" i="10"/>
  <c r="B39" i="10"/>
  <c r="B3" i="10"/>
  <c r="B5" i="10"/>
  <c r="C69" i="13" s="1"/>
  <c r="G17" i="6"/>
  <c r="G12" i="6"/>
  <c r="AP21" i="6"/>
  <c r="AO21" i="6"/>
  <c r="AN21" i="6"/>
  <c r="AM21" i="6"/>
  <c r="AL21" i="6"/>
  <c r="AK21" i="6"/>
  <c r="AJ21" i="6"/>
  <c r="AI21" i="6"/>
  <c r="AH21" i="6"/>
  <c r="AG21" i="6"/>
  <c r="AF21" i="6"/>
  <c r="AE21" i="6"/>
  <c r="AD21" i="6"/>
  <c r="AC21" i="6"/>
  <c r="AB21" i="6"/>
  <c r="AA21" i="6"/>
  <c r="Z21" i="6"/>
  <c r="Y21" i="6"/>
  <c r="X21" i="6"/>
  <c r="W21" i="6"/>
  <c r="V21" i="6"/>
  <c r="U21" i="6"/>
  <c r="T21" i="6"/>
  <c r="S21" i="6"/>
  <c r="R21" i="6"/>
  <c r="Q21" i="6"/>
  <c r="P21" i="6"/>
  <c r="O21" i="6"/>
  <c r="N21" i="6"/>
  <c r="M21" i="6"/>
  <c r="L21" i="6"/>
  <c r="K21" i="6"/>
  <c r="J21" i="6"/>
  <c r="I21" i="6"/>
  <c r="H21" i="6"/>
  <c r="G21" i="6"/>
  <c r="AP20" i="6"/>
  <c r="AO20" i="6"/>
  <c r="AN20" i="6"/>
  <c r="AM20" i="6"/>
  <c r="AL20" i="6"/>
  <c r="AK20" i="6"/>
  <c r="AJ20" i="6"/>
  <c r="AI20" i="6"/>
  <c r="AH20" i="6"/>
  <c r="AG20" i="6"/>
  <c r="AF20" i="6"/>
  <c r="AE20" i="6"/>
  <c r="AD20" i="6"/>
  <c r="AC20" i="6"/>
  <c r="AB20" i="6"/>
  <c r="AA20" i="6"/>
  <c r="Z20" i="6"/>
  <c r="Y20" i="6"/>
  <c r="X20" i="6"/>
  <c r="W20" i="6"/>
  <c r="V20" i="6"/>
  <c r="U20" i="6"/>
  <c r="T20" i="6"/>
  <c r="S20" i="6"/>
  <c r="R20" i="6"/>
  <c r="Q20" i="6"/>
  <c r="P20" i="6"/>
  <c r="O20" i="6"/>
  <c r="N20" i="6"/>
  <c r="M20" i="6"/>
  <c r="L20" i="6"/>
  <c r="K20" i="6"/>
  <c r="J20" i="6"/>
  <c r="I20" i="6"/>
  <c r="H20" i="6"/>
  <c r="G20" i="6"/>
  <c r="AP19" i="6"/>
  <c r="AO19" i="6"/>
  <c r="AN19" i="6"/>
  <c r="AM19" i="6"/>
  <c r="AL19" i="6"/>
  <c r="AK19" i="6"/>
  <c r="AJ19" i="6"/>
  <c r="AI19" i="6"/>
  <c r="AH19" i="6"/>
  <c r="AG19" i="6"/>
  <c r="AF19" i="6"/>
  <c r="AE19" i="6"/>
  <c r="AD19" i="6"/>
  <c r="AC19" i="6"/>
  <c r="AB19" i="6"/>
  <c r="AA19" i="6"/>
  <c r="Z19" i="6"/>
  <c r="Y19" i="6"/>
  <c r="X19" i="6"/>
  <c r="W19" i="6"/>
  <c r="V19" i="6"/>
  <c r="U19" i="6"/>
  <c r="T19" i="6"/>
  <c r="S19" i="6"/>
  <c r="R19" i="6"/>
  <c r="Q19" i="6"/>
  <c r="P19" i="6"/>
  <c r="O19" i="6"/>
  <c r="N19" i="6"/>
  <c r="M19" i="6"/>
  <c r="L19" i="6"/>
  <c r="K19" i="6"/>
  <c r="J19" i="6"/>
  <c r="I19" i="6"/>
  <c r="H19" i="6"/>
  <c r="G19" i="6"/>
  <c r="AP18" i="6"/>
  <c r="AO18" i="6"/>
  <c r="AN18" i="6"/>
  <c r="AM18" i="6"/>
  <c r="AL18" i="6"/>
  <c r="AK18" i="6"/>
  <c r="AJ18" i="6"/>
  <c r="AI18" i="6"/>
  <c r="AH18" i="6"/>
  <c r="AG18" i="6"/>
  <c r="AF18" i="6"/>
  <c r="AE18" i="6"/>
  <c r="AD18" i="6"/>
  <c r="AC18" i="6"/>
  <c r="AB18" i="6"/>
  <c r="AA18" i="6"/>
  <c r="Z18" i="6"/>
  <c r="Y18" i="6"/>
  <c r="X18" i="6"/>
  <c r="W18" i="6"/>
  <c r="V18" i="6"/>
  <c r="U18" i="6"/>
  <c r="T18" i="6"/>
  <c r="S18" i="6"/>
  <c r="R18" i="6"/>
  <c r="Q18" i="6"/>
  <c r="P18" i="6"/>
  <c r="O18" i="6"/>
  <c r="N18" i="6"/>
  <c r="M18" i="6"/>
  <c r="L18" i="6"/>
  <c r="K18" i="6"/>
  <c r="J18" i="6"/>
  <c r="I18" i="6"/>
  <c r="H18" i="6"/>
  <c r="G18" i="6"/>
  <c r="F18" i="6"/>
  <c r="F19" i="6"/>
  <c r="F20" i="6"/>
  <c r="F21" i="6"/>
  <c r="F17" i="6"/>
  <c r="A2" i="6"/>
  <c r="H55" i="5"/>
  <c r="I55" i="5"/>
  <c r="J55" i="5"/>
  <c r="K55" i="5"/>
  <c r="L55" i="5"/>
  <c r="M55" i="5"/>
  <c r="N55" i="5"/>
  <c r="O55" i="5"/>
  <c r="P55" i="5"/>
  <c r="Q55" i="5"/>
  <c r="R55" i="5"/>
  <c r="S55" i="5"/>
  <c r="T55" i="5"/>
  <c r="U55" i="5"/>
  <c r="V55" i="5"/>
  <c r="W55" i="5"/>
  <c r="X55" i="5"/>
  <c r="Y55" i="5"/>
  <c r="Z55" i="5"/>
  <c r="AA55" i="5"/>
  <c r="AB55" i="5"/>
  <c r="AC55" i="5"/>
  <c r="AD55" i="5"/>
  <c r="AE55" i="5"/>
  <c r="AF55" i="5"/>
  <c r="AG55" i="5"/>
  <c r="AH55" i="5"/>
  <c r="AI55" i="5"/>
  <c r="AJ55" i="5"/>
  <c r="AK55" i="5"/>
  <c r="AL55" i="5"/>
  <c r="AM55" i="5"/>
  <c r="AN55" i="5"/>
  <c r="AO55" i="5"/>
  <c r="AP55" i="5"/>
  <c r="G55" i="5"/>
  <c r="H13" i="5"/>
  <c r="H56" i="5" s="1"/>
  <c r="I13" i="5"/>
  <c r="I56" i="5" s="1"/>
  <c r="J13" i="5"/>
  <c r="J56" i="5" s="1"/>
  <c r="K13" i="5"/>
  <c r="K56" i="5" s="1"/>
  <c r="L13" i="5"/>
  <c r="L56" i="5" s="1"/>
  <c r="M13" i="5"/>
  <c r="M56" i="5" s="1"/>
  <c r="N13" i="5"/>
  <c r="N56" i="5" s="1"/>
  <c r="O13" i="5"/>
  <c r="O56" i="5" s="1"/>
  <c r="P13" i="5"/>
  <c r="P56" i="5" s="1"/>
  <c r="Q13" i="5"/>
  <c r="Q56" i="5" s="1"/>
  <c r="R13" i="5"/>
  <c r="R56" i="5" s="1"/>
  <c r="S13" i="5"/>
  <c r="S56" i="5" s="1"/>
  <c r="T13" i="5"/>
  <c r="T56" i="5" s="1"/>
  <c r="U13" i="5"/>
  <c r="U56" i="5" s="1"/>
  <c r="V13" i="5"/>
  <c r="V56" i="5" s="1"/>
  <c r="W13" i="5"/>
  <c r="W56" i="5" s="1"/>
  <c r="X13" i="5"/>
  <c r="X56" i="5" s="1"/>
  <c r="Y13" i="5"/>
  <c r="Y56" i="5" s="1"/>
  <c r="Z13" i="5"/>
  <c r="Z56" i="5" s="1"/>
  <c r="AA13" i="5"/>
  <c r="AA56" i="5" s="1"/>
  <c r="AB13" i="5"/>
  <c r="AB56" i="5" s="1"/>
  <c r="AC13" i="5"/>
  <c r="AC56" i="5" s="1"/>
  <c r="AD13" i="5"/>
  <c r="AD56" i="5" s="1"/>
  <c r="AE13" i="5"/>
  <c r="AE56" i="5" s="1"/>
  <c r="AF13" i="5"/>
  <c r="AF56" i="5" s="1"/>
  <c r="AG13" i="5"/>
  <c r="AG56" i="5" s="1"/>
  <c r="AH13" i="5"/>
  <c r="AH56" i="5" s="1"/>
  <c r="AI13" i="5"/>
  <c r="AI56" i="5" s="1"/>
  <c r="AJ13" i="5"/>
  <c r="AJ56" i="5" s="1"/>
  <c r="AK13" i="5"/>
  <c r="AK56" i="5" s="1"/>
  <c r="AL13" i="5"/>
  <c r="AL56" i="5" s="1"/>
  <c r="AM13" i="5"/>
  <c r="AM56" i="5" s="1"/>
  <c r="AN13" i="5"/>
  <c r="AN56" i="5" s="1"/>
  <c r="AO13" i="5"/>
  <c r="AO56" i="5" s="1"/>
  <c r="AP13" i="5"/>
  <c r="AP56" i="5" s="1"/>
  <c r="G13" i="5"/>
  <c r="G56" i="5" s="1"/>
  <c r="H47" i="5"/>
  <c r="I47" i="5"/>
  <c r="J47" i="5"/>
  <c r="K47" i="5"/>
  <c r="L47" i="5"/>
  <c r="M47" i="5"/>
  <c r="N47" i="5"/>
  <c r="O47" i="5"/>
  <c r="P47" i="5"/>
  <c r="Q47" i="5"/>
  <c r="R47" i="5"/>
  <c r="S47" i="5"/>
  <c r="T47" i="5"/>
  <c r="U47" i="5"/>
  <c r="V47" i="5"/>
  <c r="W47" i="5"/>
  <c r="X47" i="5"/>
  <c r="Y47" i="5"/>
  <c r="Z47" i="5"/>
  <c r="AA47" i="5"/>
  <c r="AB47" i="5"/>
  <c r="AC47" i="5"/>
  <c r="AD47" i="5"/>
  <c r="AE47" i="5"/>
  <c r="AF47" i="5"/>
  <c r="AG47" i="5"/>
  <c r="AH47" i="5"/>
  <c r="AI47" i="5"/>
  <c r="AJ47" i="5"/>
  <c r="AK47" i="5"/>
  <c r="AL47" i="5"/>
  <c r="AM47" i="5"/>
  <c r="AN47" i="5"/>
  <c r="AO47" i="5"/>
  <c r="AP47" i="5"/>
  <c r="G47" i="5"/>
  <c r="C5" i="10" l="1"/>
  <c r="C57" i="9"/>
  <c r="D57" i="9" s="1"/>
  <c r="E57" i="9" s="1"/>
  <c r="F57" i="9" s="1"/>
  <c r="G57" i="9" s="1"/>
  <c r="H57" i="9" s="1"/>
  <c r="I57" i="9" s="1"/>
  <c r="J57" i="9" s="1"/>
  <c r="K57" i="9" s="1"/>
  <c r="L57" i="9" s="1"/>
  <c r="M57" i="9" s="1"/>
  <c r="H13" i="4"/>
  <c r="H17" i="4" s="1"/>
  <c r="H26" i="4" s="1"/>
  <c r="H36" i="4" s="1"/>
  <c r="I13" i="4"/>
  <c r="I17" i="4" s="1"/>
  <c r="I26" i="4" s="1"/>
  <c r="I36" i="4" s="1"/>
  <c r="G13" i="4"/>
  <c r="G17" i="4" s="1"/>
  <c r="G26" i="4" s="1"/>
  <c r="G36" i="4" s="1"/>
  <c r="G34" i="4"/>
  <c r="H34" i="4"/>
  <c r="I34" i="4"/>
  <c r="J34" i="4"/>
  <c r="K34" i="4"/>
  <c r="L34" i="4"/>
  <c r="M34" i="4"/>
  <c r="N34" i="4"/>
  <c r="O34" i="4"/>
  <c r="P34" i="4"/>
  <c r="Q34" i="4"/>
  <c r="R34" i="4"/>
  <c r="S34" i="4"/>
  <c r="T34" i="4"/>
  <c r="U34" i="4"/>
  <c r="V34" i="4"/>
  <c r="W34" i="4"/>
  <c r="X34" i="4"/>
  <c r="Y34" i="4"/>
  <c r="Z34" i="4"/>
  <c r="AA34" i="4"/>
  <c r="AB34" i="4"/>
  <c r="AC34" i="4"/>
  <c r="AD34" i="4"/>
  <c r="AE34" i="4"/>
  <c r="AF34" i="4"/>
  <c r="AG34" i="4"/>
  <c r="AH34" i="4"/>
  <c r="AI34" i="4"/>
  <c r="AJ34" i="4"/>
  <c r="AK34" i="4"/>
  <c r="AL34" i="4"/>
  <c r="AM34" i="4"/>
  <c r="AN34" i="4"/>
  <c r="AO34" i="4"/>
  <c r="AP34" i="4"/>
  <c r="G35" i="4"/>
  <c r="H35" i="4"/>
  <c r="I35" i="4"/>
  <c r="J35" i="4"/>
  <c r="K35" i="4"/>
  <c r="L35" i="4"/>
  <c r="M35" i="4"/>
  <c r="N35" i="4"/>
  <c r="O35" i="4"/>
  <c r="P35" i="4"/>
  <c r="Q35" i="4"/>
  <c r="R35" i="4"/>
  <c r="S35" i="4"/>
  <c r="T35" i="4"/>
  <c r="U35" i="4"/>
  <c r="V35" i="4"/>
  <c r="W35" i="4"/>
  <c r="X35" i="4"/>
  <c r="Y35" i="4"/>
  <c r="Z35" i="4"/>
  <c r="AA35" i="4"/>
  <c r="AB35" i="4"/>
  <c r="AC35" i="4"/>
  <c r="AD35" i="4"/>
  <c r="AE35" i="4"/>
  <c r="AF35" i="4"/>
  <c r="AG35" i="4"/>
  <c r="AH35" i="4"/>
  <c r="AI35" i="4"/>
  <c r="AJ35" i="4"/>
  <c r="AK35" i="4"/>
  <c r="AL35" i="4"/>
  <c r="AM35" i="4"/>
  <c r="AN35" i="4"/>
  <c r="AO35" i="4"/>
  <c r="AP35" i="4"/>
  <c r="G37" i="4"/>
  <c r="H37" i="4"/>
  <c r="I37" i="4"/>
  <c r="J37" i="4"/>
  <c r="K37" i="4"/>
  <c r="L37" i="4"/>
  <c r="M37" i="4"/>
  <c r="N37" i="4"/>
  <c r="O37" i="4"/>
  <c r="P37" i="4"/>
  <c r="Q37" i="4"/>
  <c r="R37" i="4"/>
  <c r="S37" i="4"/>
  <c r="T37" i="4"/>
  <c r="U37" i="4"/>
  <c r="V37" i="4"/>
  <c r="W37" i="4"/>
  <c r="X37" i="4"/>
  <c r="Y37" i="4"/>
  <c r="Z37" i="4"/>
  <c r="AA37" i="4"/>
  <c r="AB37" i="4"/>
  <c r="AC37" i="4"/>
  <c r="AD37" i="4"/>
  <c r="AE37" i="4"/>
  <c r="AF37" i="4"/>
  <c r="AG37" i="4"/>
  <c r="AH37" i="4"/>
  <c r="AI37" i="4"/>
  <c r="AJ37" i="4"/>
  <c r="AK37" i="4"/>
  <c r="AL37" i="4"/>
  <c r="AM37" i="4"/>
  <c r="AN37" i="4"/>
  <c r="AO37" i="4"/>
  <c r="AP37" i="4"/>
  <c r="G38" i="4"/>
  <c r="H38" i="4"/>
  <c r="I38" i="4"/>
  <c r="J38" i="4"/>
  <c r="K38" i="4"/>
  <c r="L38" i="4"/>
  <c r="M38" i="4"/>
  <c r="N38" i="4"/>
  <c r="O38" i="4"/>
  <c r="P38" i="4"/>
  <c r="Q38" i="4"/>
  <c r="R38" i="4"/>
  <c r="S38" i="4"/>
  <c r="T38" i="4"/>
  <c r="U38" i="4"/>
  <c r="V38" i="4"/>
  <c r="W38" i="4"/>
  <c r="X38" i="4"/>
  <c r="Y38" i="4"/>
  <c r="Z38" i="4"/>
  <c r="AA38" i="4"/>
  <c r="AB38" i="4"/>
  <c r="AC38" i="4"/>
  <c r="AD38" i="4"/>
  <c r="AE38" i="4"/>
  <c r="AF38" i="4"/>
  <c r="AG38" i="4"/>
  <c r="AH38" i="4"/>
  <c r="AI38" i="4"/>
  <c r="AJ38" i="4"/>
  <c r="AK38" i="4"/>
  <c r="AL38" i="4"/>
  <c r="AM38" i="4"/>
  <c r="AN38" i="4"/>
  <c r="AO38" i="4"/>
  <c r="AP38" i="4"/>
  <c r="G39" i="4"/>
  <c r="H39" i="4"/>
  <c r="I39" i="4"/>
  <c r="J39" i="4"/>
  <c r="K39" i="4"/>
  <c r="L39" i="4"/>
  <c r="M39" i="4"/>
  <c r="N39" i="4"/>
  <c r="O39" i="4"/>
  <c r="P39" i="4"/>
  <c r="Q39" i="4"/>
  <c r="R39" i="4"/>
  <c r="S39" i="4"/>
  <c r="T39" i="4"/>
  <c r="U39" i="4"/>
  <c r="V39" i="4"/>
  <c r="W39" i="4"/>
  <c r="X39" i="4"/>
  <c r="Y39" i="4"/>
  <c r="Z39" i="4"/>
  <c r="AA39" i="4"/>
  <c r="AB39" i="4"/>
  <c r="AC39" i="4"/>
  <c r="AD39" i="4"/>
  <c r="AE39" i="4"/>
  <c r="AF39" i="4"/>
  <c r="AG39" i="4"/>
  <c r="AH39" i="4"/>
  <c r="AI39" i="4"/>
  <c r="AJ39" i="4"/>
  <c r="AK39" i="4"/>
  <c r="AL39" i="4"/>
  <c r="AM39" i="4"/>
  <c r="AN39" i="4"/>
  <c r="AO39" i="4"/>
  <c r="AP39" i="4"/>
  <c r="F33" i="4"/>
  <c r="F34" i="4"/>
  <c r="F35" i="4"/>
  <c r="F36" i="4"/>
  <c r="F37" i="4"/>
  <c r="F38" i="4"/>
  <c r="F39" i="4"/>
  <c r="H71" i="3"/>
  <c r="C9" i="9" s="1"/>
  <c r="I71" i="3"/>
  <c r="D9" i="9" s="1"/>
  <c r="G71" i="3"/>
  <c r="B9" i="9" s="1"/>
  <c r="H42" i="3"/>
  <c r="H50" i="3" s="1"/>
  <c r="I42" i="3"/>
  <c r="I50" i="3" s="1"/>
  <c r="G42" i="3"/>
  <c r="G50" i="3" s="1"/>
  <c r="H13" i="3"/>
  <c r="H16" i="3" s="1"/>
  <c r="I13" i="3"/>
  <c r="I16" i="3" s="1"/>
  <c r="J13" i="3"/>
  <c r="J16" i="3" s="1"/>
  <c r="K13" i="3"/>
  <c r="K16" i="3" s="1"/>
  <c r="L13" i="3"/>
  <c r="L16" i="3" s="1"/>
  <c r="M13" i="3"/>
  <c r="M16" i="3" s="1"/>
  <c r="N13" i="3"/>
  <c r="N16" i="3" s="1"/>
  <c r="O13" i="3"/>
  <c r="O16" i="3" s="1"/>
  <c r="P13" i="3"/>
  <c r="P16" i="3" s="1"/>
  <c r="Q13" i="3"/>
  <c r="Q16" i="3" s="1"/>
  <c r="R13" i="3"/>
  <c r="R16" i="3" s="1"/>
  <c r="S13" i="3"/>
  <c r="S16" i="3" s="1"/>
  <c r="T13" i="3"/>
  <c r="T16" i="3" s="1"/>
  <c r="U13" i="3"/>
  <c r="U16" i="3" s="1"/>
  <c r="V13" i="3"/>
  <c r="V16" i="3" s="1"/>
  <c r="W13" i="3"/>
  <c r="W16" i="3" s="1"/>
  <c r="X13" i="3"/>
  <c r="X16" i="3" s="1"/>
  <c r="Y13" i="3"/>
  <c r="Y16" i="3" s="1"/>
  <c r="Z13" i="3"/>
  <c r="Z16" i="3" s="1"/>
  <c r="AA13" i="3"/>
  <c r="AA16" i="3" s="1"/>
  <c r="AB13" i="3"/>
  <c r="AB16" i="3" s="1"/>
  <c r="AC13" i="3"/>
  <c r="AC16" i="3" s="1"/>
  <c r="AD13" i="3"/>
  <c r="AD16" i="3" s="1"/>
  <c r="AE13" i="3"/>
  <c r="AE16" i="3" s="1"/>
  <c r="AF13" i="3"/>
  <c r="AF16" i="3" s="1"/>
  <c r="AG13" i="3"/>
  <c r="AG16" i="3" s="1"/>
  <c r="AH13" i="3"/>
  <c r="AH16" i="3" s="1"/>
  <c r="AI13" i="3"/>
  <c r="AI16" i="3" s="1"/>
  <c r="AJ13" i="3"/>
  <c r="AJ16" i="3" s="1"/>
  <c r="AK13" i="3"/>
  <c r="AK16" i="3" s="1"/>
  <c r="AL13" i="3"/>
  <c r="AL16" i="3" s="1"/>
  <c r="AM13" i="3"/>
  <c r="AM16" i="3" s="1"/>
  <c r="AN13" i="3"/>
  <c r="AN16" i="3" s="1"/>
  <c r="AO13" i="3"/>
  <c r="AO16" i="3" s="1"/>
  <c r="AP13" i="3"/>
  <c r="AP16" i="3" s="1"/>
  <c r="G13" i="3"/>
  <c r="G16" i="3" s="1"/>
  <c r="G17" i="3" s="1"/>
  <c r="D10" i="3"/>
  <c r="C10" i="3"/>
  <c r="B10" i="3"/>
  <c r="N83" i="10"/>
  <c r="N82" i="10"/>
  <c r="S64" i="10"/>
  <c r="S100" i="10" s="1"/>
  <c r="O64" i="10"/>
  <c r="O100" i="10" s="1"/>
  <c r="N47" i="10"/>
  <c r="N46" i="10"/>
  <c r="P28" i="10"/>
  <c r="N11" i="10"/>
  <c r="N10" i="10"/>
  <c r="B18" i="10"/>
  <c r="C18" i="10"/>
  <c r="D18" i="10"/>
  <c r="H29" i="7"/>
  <c r="I29" i="7" s="1"/>
  <c r="J29" i="7" s="1"/>
  <c r="K29" i="7" s="1"/>
  <c r="L29" i="7" s="1"/>
  <c r="M29" i="7" s="1"/>
  <c r="N29" i="7" s="1"/>
  <c r="O29" i="7" s="1"/>
  <c r="P29" i="7" s="1"/>
  <c r="Q29" i="7" s="1"/>
  <c r="R29" i="7" s="1"/>
  <c r="G23" i="7"/>
  <c r="K20" i="7"/>
  <c r="K18" i="7"/>
  <c r="L16" i="7"/>
  <c r="M16" i="7" s="1"/>
  <c r="G11" i="7"/>
  <c r="H7" i="7"/>
  <c r="I7" i="7" s="1"/>
  <c r="H2" i="7"/>
  <c r="I2" i="7" s="1"/>
  <c r="J2" i="7" s="1"/>
  <c r="K2" i="7" s="1"/>
  <c r="L2" i="7" s="1"/>
  <c r="M2" i="7" s="1"/>
  <c r="N2" i="7" s="1"/>
  <c r="O2" i="7" s="1"/>
  <c r="P2" i="7" s="1"/>
  <c r="Q2" i="7" s="1"/>
  <c r="R2" i="7" s="1"/>
  <c r="S2" i="7" s="1"/>
  <c r="T2" i="7" s="1"/>
  <c r="U2" i="7" s="1"/>
  <c r="V2" i="7" s="1"/>
  <c r="W2" i="7" s="1"/>
  <c r="X2" i="7" s="1"/>
  <c r="Y2" i="7" s="1"/>
  <c r="Z2" i="7" s="1"/>
  <c r="AA2" i="7" s="1"/>
  <c r="AB2" i="7" s="1"/>
  <c r="AC2" i="7" s="1"/>
  <c r="AD2" i="7" s="1"/>
  <c r="AE2" i="7" s="1"/>
  <c r="AF2" i="7" s="1"/>
  <c r="AG2" i="7" s="1"/>
  <c r="AH2" i="7" s="1"/>
  <c r="AI2" i="7" s="1"/>
  <c r="AJ2" i="7" s="1"/>
  <c r="AK2" i="7" s="1"/>
  <c r="AL2" i="7" s="1"/>
  <c r="AM2" i="7" s="1"/>
  <c r="AN2" i="7" s="1"/>
  <c r="AO2" i="7" s="1"/>
  <c r="AP2" i="7" s="1"/>
  <c r="AP17" i="6"/>
  <c r="AO17" i="6"/>
  <c r="AN17" i="6"/>
  <c r="AN22" i="6" s="1"/>
  <c r="AN29" i="6" s="1"/>
  <c r="K74" i="9" s="1"/>
  <c r="AM17" i="6"/>
  <c r="AL17" i="6"/>
  <c r="AL22" i="6" s="1"/>
  <c r="AL29" i="6" s="1"/>
  <c r="I74" i="9" s="1"/>
  <c r="AK17" i="6"/>
  <c r="AJ17" i="6"/>
  <c r="AI17" i="6"/>
  <c r="AH17" i="6"/>
  <c r="AG17" i="6"/>
  <c r="AF17" i="6"/>
  <c r="AE17" i="6"/>
  <c r="AD17" i="6"/>
  <c r="AC17" i="6"/>
  <c r="AB17" i="6"/>
  <c r="AA17" i="6"/>
  <c r="Z17" i="6"/>
  <c r="Y17" i="6"/>
  <c r="X17" i="6"/>
  <c r="X22" i="6" s="1"/>
  <c r="X29" i="6" s="1"/>
  <c r="G48" i="9" s="1"/>
  <c r="W17" i="6"/>
  <c r="W22" i="6" s="1"/>
  <c r="W29" i="6" s="1"/>
  <c r="F48" i="9" s="1"/>
  <c r="V17" i="6"/>
  <c r="V22" i="6" s="1"/>
  <c r="V29" i="6" s="1"/>
  <c r="E48" i="9" s="1"/>
  <c r="U17" i="6"/>
  <c r="T17" i="6"/>
  <c r="S17" i="6"/>
  <c r="R17" i="6"/>
  <c r="Q17" i="6"/>
  <c r="P17" i="6"/>
  <c r="O17" i="6"/>
  <c r="N17" i="6"/>
  <c r="M17" i="6"/>
  <c r="L17" i="6"/>
  <c r="K17" i="6"/>
  <c r="J17" i="6"/>
  <c r="I17" i="6"/>
  <c r="H17" i="6"/>
  <c r="H22" i="6" s="1"/>
  <c r="H29" i="6" s="1"/>
  <c r="C22" i="9" s="1"/>
  <c r="AP12" i="6"/>
  <c r="AP28" i="6" s="1"/>
  <c r="M88" i="10" s="1"/>
  <c r="AO12" i="6"/>
  <c r="AO28" i="6" s="1"/>
  <c r="L88" i="10" s="1"/>
  <c r="AN12" i="6"/>
  <c r="AN28" i="6" s="1"/>
  <c r="K88" i="10" s="1"/>
  <c r="AM12" i="6"/>
  <c r="AM28" i="6" s="1"/>
  <c r="J88" i="10" s="1"/>
  <c r="AL12" i="6"/>
  <c r="AL28" i="6" s="1"/>
  <c r="I88" i="10" s="1"/>
  <c r="AK12" i="6"/>
  <c r="AK28" i="6" s="1"/>
  <c r="H88" i="10" s="1"/>
  <c r="AJ12" i="6"/>
  <c r="AJ28" i="6" s="1"/>
  <c r="G88" i="10" s="1"/>
  <c r="AI12" i="6"/>
  <c r="AI28" i="6" s="1"/>
  <c r="F88" i="10" s="1"/>
  <c r="AH12" i="6"/>
  <c r="AH28" i="6" s="1"/>
  <c r="E88" i="10" s="1"/>
  <c r="AG12" i="6"/>
  <c r="AG28" i="6" s="1"/>
  <c r="D88" i="10" s="1"/>
  <c r="AF12" i="6"/>
  <c r="AF28" i="6" s="1"/>
  <c r="C88" i="10" s="1"/>
  <c r="AE12" i="6"/>
  <c r="AE28" i="6" s="1"/>
  <c r="B88" i="10" s="1"/>
  <c r="AD12" i="6"/>
  <c r="AD28" i="6" s="1"/>
  <c r="M52" i="10" s="1"/>
  <c r="AC12" i="6"/>
  <c r="AC28" i="6" s="1"/>
  <c r="L52" i="10" s="1"/>
  <c r="AB12" i="6"/>
  <c r="AB28" i="6" s="1"/>
  <c r="K52" i="10" s="1"/>
  <c r="AA12" i="6"/>
  <c r="AA28" i="6" s="1"/>
  <c r="J52" i="10" s="1"/>
  <c r="Z12" i="6"/>
  <c r="Z28" i="6" s="1"/>
  <c r="I52" i="10" s="1"/>
  <c r="Y12" i="6"/>
  <c r="Y28" i="6" s="1"/>
  <c r="H52" i="10" s="1"/>
  <c r="X12" i="6"/>
  <c r="X28" i="6" s="1"/>
  <c r="G52" i="10" s="1"/>
  <c r="W12" i="6"/>
  <c r="W28" i="6" s="1"/>
  <c r="F52" i="10" s="1"/>
  <c r="V12" i="6"/>
  <c r="V28" i="6" s="1"/>
  <c r="E52" i="10" s="1"/>
  <c r="U12" i="6"/>
  <c r="U28" i="6" s="1"/>
  <c r="D52" i="10" s="1"/>
  <c r="T12" i="6"/>
  <c r="T28" i="6" s="1"/>
  <c r="C52" i="10" s="1"/>
  <c r="S12" i="6"/>
  <c r="S28" i="6" s="1"/>
  <c r="B52" i="10" s="1"/>
  <c r="R12" i="6"/>
  <c r="R28" i="6" s="1"/>
  <c r="M16" i="10" s="1"/>
  <c r="Q12" i="6"/>
  <c r="Q28" i="6" s="1"/>
  <c r="L16" i="10" s="1"/>
  <c r="P12" i="6"/>
  <c r="P28" i="6" s="1"/>
  <c r="K16" i="10" s="1"/>
  <c r="O12" i="6"/>
  <c r="O28" i="6" s="1"/>
  <c r="J16" i="10" s="1"/>
  <c r="N12" i="6"/>
  <c r="N28" i="6" s="1"/>
  <c r="I16" i="10" s="1"/>
  <c r="M12" i="6"/>
  <c r="M28" i="6" s="1"/>
  <c r="H16" i="10" s="1"/>
  <c r="L12" i="6"/>
  <c r="L28" i="6" s="1"/>
  <c r="G16" i="10" s="1"/>
  <c r="K12" i="6"/>
  <c r="K28" i="6" s="1"/>
  <c r="F16" i="10" s="1"/>
  <c r="J12" i="6"/>
  <c r="J28" i="6" s="1"/>
  <c r="E16" i="10" s="1"/>
  <c r="I12" i="6"/>
  <c r="I28" i="6" s="1"/>
  <c r="D16" i="10" s="1"/>
  <c r="H12" i="6"/>
  <c r="H28" i="6" s="1"/>
  <c r="C16" i="10" s="1"/>
  <c r="G28" i="6"/>
  <c r="B16" i="10" s="1"/>
  <c r="H2" i="6"/>
  <c r="I2" i="6" s="1"/>
  <c r="J2" i="6" s="1"/>
  <c r="K2" i="6" s="1"/>
  <c r="L2" i="6" s="1"/>
  <c r="M2" i="6" s="1"/>
  <c r="N2" i="6" s="1"/>
  <c r="O2" i="6" s="1"/>
  <c r="P2" i="6" s="1"/>
  <c r="Q2" i="6" s="1"/>
  <c r="R2" i="6" s="1"/>
  <c r="S2" i="6" s="1"/>
  <c r="T2" i="6" s="1"/>
  <c r="U2" i="6" s="1"/>
  <c r="V2" i="6" s="1"/>
  <c r="W2" i="6" s="1"/>
  <c r="X2" i="6" s="1"/>
  <c r="Y2" i="6" s="1"/>
  <c r="Z2" i="6" s="1"/>
  <c r="AA2" i="6" s="1"/>
  <c r="AB2" i="6" s="1"/>
  <c r="AC2" i="6" s="1"/>
  <c r="AD2" i="6" s="1"/>
  <c r="AE2" i="6" s="1"/>
  <c r="AF2" i="6" s="1"/>
  <c r="AG2" i="6" s="1"/>
  <c r="AH2" i="6" s="1"/>
  <c r="AI2" i="6" s="1"/>
  <c r="AJ2" i="6" s="1"/>
  <c r="AK2" i="6" s="1"/>
  <c r="AL2" i="6" s="1"/>
  <c r="AM2" i="6" s="1"/>
  <c r="AN2" i="6" s="1"/>
  <c r="AO2" i="6" s="1"/>
  <c r="AP2" i="6" s="1"/>
  <c r="G2" i="5"/>
  <c r="H2" i="5" s="1"/>
  <c r="I2" i="5" s="1"/>
  <c r="J2" i="5" s="1"/>
  <c r="K2" i="5" s="1"/>
  <c r="L2" i="5" s="1"/>
  <c r="M2" i="5" s="1"/>
  <c r="N2" i="5" s="1"/>
  <c r="O2" i="5" s="1"/>
  <c r="P2" i="5" s="1"/>
  <c r="Q2" i="5" s="1"/>
  <c r="R2" i="5" s="1"/>
  <c r="S2" i="5" s="1"/>
  <c r="T2" i="5" s="1"/>
  <c r="U2" i="5" s="1"/>
  <c r="V2" i="5" s="1"/>
  <c r="W2" i="5" s="1"/>
  <c r="X2" i="5" s="1"/>
  <c r="Y2" i="5" s="1"/>
  <c r="Z2" i="5" s="1"/>
  <c r="AA2" i="5" s="1"/>
  <c r="AB2" i="5" s="1"/>
  <c r="AC2" i="5" s="1"/>
  <c r="AD2" i="5" s="1"/>
  <c r="AE2" i="5" s="1"/>
  <c r="AF2" i="5" s="1"/>
  <c r="AG2" i="5" s="1"/>
  <c r="AH2" i="5" s="1"/>
  <c r="AI2" i="5" s="1"/>
  <c r="AJ2" i="5" s="1"/>
  <c r="AK2" i="5" s="1"/>
  <c r="AL2" i="5" s="1"/>
  <c r="AM2" i="5" s="1"/>
  <c r="AN2" i="5" s="1"/>
  <c r="AO2" i="5" s="1"/>
  <c r="AP2" i="5" s="1"/>
  <c r="A2" i="5"/>
  <c r="AP60" i="5"/>
  <c r="M70" i="9" s="1"/>
  <c r="M96" i="10" s="1"/>
  <c r="AO60" i="5"/>
  <c r="L70" i="9" s="1"/>
  <c r="L96" i="10" s="1"/>
  <c r="AN60" i="5"/>
  <c r="K70" i="9" s="1"/>
  <c r="K96" i="10" s="1"/>
  <c r="AM60" i="5"/>
  <c r="J70" i="9" s="1"/>
  <c r="J96" i="10" s="1"/>
  <c r="AL60" i="5"/>
  <c r="I70" i="9" s="1"/>
  <c r="I96" i="10" s="1"/>
  <c r="AK60" i="5"/>
  <c r="H70" i="9" s="1"/>
  <c r="H96" i="10" s="1"/>
  <c r="AJ60" i="5"/>
  <c r="G70" i="9" s="1"/>
  <c r="G96" i="10" s="1"/>
  <c r="AI60" i="5"/>
  <c r="F70" i="9" s="1"/>
  <c r="F96" i="10" s="1"/>
  <c r="AH60" i="5"/>
  <c r="E70" i="9" s="1"/>
  <c r="E96" i="10" s="1"/>
  <c r="AG60" i="5"/>
  <c r="D70" i="9" s="1"/>
  <c r="D96" i="10" s="1"/>
  <c r="AF60" i="5"/>
  <c r="C70" i="9" s="1"/>
  <c r="C96" i="10" s="1"/>
  <c r="AE60" i="5"/>
  <c r="B70" i="9" s="1"/>
  <c r="B96" i="10" s="1"/>
  <c r="AD60" i="5"/>
  <c r="M44" i="9" s="1"/>
  <c r="M60" i="10" s="1"/>
  <c r="AC60" i="5"/>
  <c r="L44" i="9" s="1"/>
  <c r="L60" i="10" s="1"/>
  <c r="AB60" i="5"/>
  <c r="K44" i="9" s="1"/>
  <c r="K60" i="10" s="1"/>
  <c r="AA60" i="5"/>
  <c r="J44" i="9" s="1"/>
  <c r="J60" i="10" s="1"/>
  <c r="Z60" i="5"/>
  <c r="I44" i="9" s="1"/>
  <c r="I60" i="10" s="1"/>
  <c r="Y60" i="5"/>
  <c r="H44" i="9" s="1"/>
  <c r="H60" i="10" s="1"/>
  <c r="X60" i="5"/>
  <c r="G44" i="9" s="1"/>
  <c r="G60" i="10" s="1"/>
  <c r="W60" i="5"/>
  <c r="F44" i="9" s="1"/>
  <c r="F60" i="10" s="1"/>
  <c r="V60" i="5"/>
  <c r="E44" i="9" s="1"/>
  <c r="E60" i="10" s="1"/>
  <c r="U60" i="5"/>
  <c r="D44" i="9" s="1"/>
  <c r="D60" i="10" s="1"/>
  <c r="T60" i="5"/>
  <c r="C44" i="9" s="1"/>
  <c r="C60" i="10" s="1"/>
  <c r="S60" i="5"/>
  <c r="B44" i="9" s="1"/>
  <c r="B60" i="10" s="1"/>
  <c r="R60" i="5"/>
  <c r="M18" i="9" s="1"/>
  <c r="M24" i="10" s="1"/>
  <c r="Q60" i="5"/>
  <c r="L18" i="9" s="1"/>
  <c r="L24" i="10" s="1"/>
  <c r="P60" i="5"/>
  <c r="K18" i="9" s="1"/>
  <c r="K24" i="10" s="1"/>
  <c r="O60" i="5"/>
  <c r="J18" i="9" s="1"/>
  <c r="J24" i="10" s="1"/>
  <c r="N60" i="5"/>
  <c r="I18" i="9" s="1"/>
  <c r="I24" i="10" s="1"/>
  <c r="M60" i="5"/>
  <c r="H18" i="9" s="1"/>
  <c r="H24" i="10" s="1"/>
  <c r="L60" i="5"/>
  <c r="G18" i="9" s="1"/>
  <c r="G24" i="10" s="1"/>
  <c r="K60" i="5"/>
  <c r="F18" i="9" s="1"/>
  <c r="F24" i="10" s="1"/>
  <c r="J60" i="5"/>
  <c r="E18" i="9" s="1"/>
  <c r="E24" i="10" s="1"/>
  <c r="I60" i="5"/>
  <c r="D18" i="9" s="1"/>
  <c r="D24" i="10" s="1"/>
  <c r="H60" i="5"/>
  <c r="C18" i="9" s="1"/>
  <c r="C24" i="10" s="1"/>
  <c r="G60" i="5"/>
  <c r="B18" i="9" s="1"/>
  <c r="B24" i="10" s="1"/>
  <c r="A2" i="4"/>
  <c r="G2" i="4"/>
  <c r="H2" i="4" s="1"/>
  <c r="I2" i="4" s="1"/>
  <c r="J2" i="4" s="1"/>
  <c r="K2" i="4" s="1"/>
  <c r="L2" i="4" s="1"/>
  <c r="M2" i="4" s="1"/>
  <c r="N2" i="4" s="1"/>
  <c r="O2" i="4" s="1"/>
  <c r="P2" i="4" s="1"/>
  <c r="Q2" i="4" s="1"/>
  <c r="R2" i="4" s="1"/>
  <c r="S2" i="4" s="1"/>
  <c r="T2" i="4" s="1"/>
  <c r="U2" i="4" s="1"/>
  <c r="V2" i="4" s="1"/>
  <c r="W2" i="4" s="1"/>
  <c r="X2" i="4" s="1"/>
  <c r="Y2" i="4" s="1"/>
  <c r="Z2" i="4" s="1"/>
  <c r="AA2" i="4" s="1"/>
  <c r="AB2" i="4" s="1"/>
  <c r="AC2" i="4" s="1"/>
  <c r="AD2" i="4" s="1"/>
  <c r="AE2" i="4" s="1"/>
  <c r="AF2" i="4" s="1"/>
  <c r="AG2" i="4" s="1"/>
  <c r="AH2" i="4" s="1"/>
  <c r="AI2" i="4" s="1"/>
  <c r="AJ2" i="4" s="1"/>
  <c r="AK2" i="4" s="1"/>
  <c r="AL2" i="4" s="1"/>
  <c r="AM2" i="4" s="1"/>
  <c r="AN2" i="4" s="1"/>
  <c r="AO2" i="4" s="1"/>
  <c r="AP2" i="4" s="1"/>
  <c r="AP32" i="4"/>
  <c r="AO32" i="4"/>
  <c r="AN32" i="4"/>
  <c r="AM32" i="4"/>
  <c r="AL32" i="4"/>
  <c r="AK32" i="4"/>
  <c r="AJ32" i="4"/>
  <c r="AI32" i="4"/>
  <c r="AH32" i="4"/>
  <c r="AG32" i="4"/>
  <c r="AF32" i="4"/>
  <c r="AE32" i="4"/>
  <c r="AD32" i="4"/>
  <c r="AC32" i="4"/>
  <c r="AB32" i="4"/>
  <c r="AA32" i="4"/>
  <c r="Z32" i="4"/>
  <c r="Y32" i="4"/>
  <c r="X32" i="4"/>
  <c r="W32" i="4"/>
  <c r="V32" i="4"/>
  <c r="U32" i="4"/>
  <c r="T32" i="4"/>
  <c r="S32" i="4"/>
  <c r="R32" i="4"/>
  <c r="Q32" i="4"/>
  <c r="P32" i="4"/>
  <c r="O32" i="4"/>
  <c r="N32" i="4"/>
  <c r="M32" i="4"/>
  <c r="L32" i="4"/>
  <c r="K32" i="4"/>
  <c r="J32" i="4"/>
  <c r="I32" i="4"/>
  <c r="H32" i="4"/>
  <c r="G32" i="4"/>
  <c r="F32" i="4"/>
  <c r="G2" i="3"/>
  <c r="H2" i="3" s="1"/>
  <c r="I2" i="3" s="1"/>
  <c r="J2" i="3" s="1"/>
  <c r="K2" i="3" s="1"/>
  <c r="L2" i="3" s="1"/>
  <c r="M2" i="3" s="1"/>
  <c r="N2" i="3" s="1"/>
  <c r="O2" i="3" s="1"/>
  <c r="P2" i="3" s="1"/>
  <c r="Q2" i="3" s="1"/>
  <c r="R2" i="3" s="1"/>
  <c r="S2" i="3" s="1"/>
  <c r="T2" i="3" s="1"/>
  <c r="U2" i="3" s="1"/>
  <c r="V2" i="3" s="1"/>
  <c r="W2" i="3" s="1"/>
  <c r="X2" i="3" s="1"/>
  <c r="Y2" i="3" s="1"/>
  <c r="Z2" i="3" s="1"/>
  <c r="AA2" i="3" s="1"/>
  <c r="AB2" i="3" s="1"/>
  <c r="AC2" i="3" s="1"/>
  <c r="AD2" i="3" s="1"/>
  <c r="AE2" i="3" s="1"/>
  <c r="AF2" i="3" s="1"/>
  <c r="AG2" i="3" s="1"/>
  <c r="AH2" i="3" s="1"/>
  <c r="AI2" i="3" s="1"/>
  <c r="AJ2" i="3" s="1"/>
  <c r="AK2" i="3" s="1"/>
  <c r="AL2" i="3" s="1"/>
  <c r="AM2" i="3" s="1"/>
  <c r="AN2" i="3" s="1"/>
  <c r="AO2" i="3" s="1"/>
  <c r="AP2" i="3" s="1"/>
  <c r="A2" i="3"/>
  <c r="D69" i="13" l="1"/>
  <c r="D5" i="10"/>
  <c r="G24" i="7"/>
  <c r="B21" i="9" s="1"/>
  <c r="B27" i="10" s="1"/>
  <c r="G9" i="7"/>
  <c r="G12" i="7" s="1"/>
  <c r="H8" i="7" s="1"/>
  <c r="L19" i="7"/>
  <c r="L18" i="7"/>
  <c r="K21" i="7"/>
  <c r="L17" i="7" s="1"/>
  <c r="C60" i="5"/>
  <c r="D21" i="12" s="1"/>
  <c r="D60" i="5"/>
  <c r="E21" i="12" s="1"/>
  <c r="B60" i="5"/>
  <c r="C21" i="12" s="1"/>
  <c r="P64" i="10"/>
  <c r="Q64" i="10"/>
  <c r="AM22" i="6"/>
  <c r="AM29" i="6" s="1"/>
  <c r="J74" i="9" s="1"/>
  <c r="I22" i="6"/>
  <c r="I29" i="6" s="1"/>
  <c r="D22" i="9" s="1"/>
  <c r="Y22" i="6"/>
  <c r="Y29" i="6" s="1"/>
  <c r="H48" i="9" s="1"/>
  <c r="AO22" i="6"/>
  <c r="AO29" i="6" s="1"/>
  <c r="L74" i="9" s="1"/>
  <c r="J22" i="6"/>
  <c r="J29" i="6" s="1"/>
  <c r="E22" i="9" s="1"/>
  <c r="Z22" i="6"/>
  <c r="Z29" i="6" s="1"/>
  <c r="I48" i="9" s="1"/>
  <c r="AP22" i="6"/>
  <c r="AP29" i="6" s="1"/>
  <c r="M74" i="9" s="1"/>
  <c r="K22" i="6"/>
  <c r="K29" i="6" s="1"/>
  <c r="F22" i="9" s="1"/>
  <c r="AA22" i="6"/>
  <c r="AA29" i="6" s="1"/>
  <c r="J48" i="9" s="1"/>
  <c r="P22" i="6"/>
  <c r="P29" i="6" s="1"/>
  <c r="K22" i="9" s="1"/>
  <c r="AF22" i="6"/>
  <c r="AF29" i="6" s="1"/>
  <c r="C74" i="9" s="1"/>
  <c r="Q22" i="6"/>
  <c r="Q29" i="6" s="1"/>
  <c r="L22" i="9" s="1"/>
  <c r="AG22" i="6"/>
  <c r="AG29" i="6" s="1"/>
  <c r="D74" i="9" s="1"/>
  <c r="L22" i="6"/>
  <c r="L29" i="6" s="1"/>
  <c r="G22" i="9" s="1"/>
  <c r="AB22" i="6"/>
  <c r="AB29" i="6" s="1"/>
  <c r="K48" i="9" s="1"/>
  <c r="M22" i="6"/>
  <c r="M29" i="6" s="1"/>
  <c r="H22" i="9" s="1"/>
  <c r="AC22" i="6"/>
  <c r="AC29" i="6" s="1"/>
  <c r="L48" i="9" s="1"/>
  <c r="N22" i="6"/>
  <c r="N29" i="6" s="1"/>
  <c r="I22" i="9" s="1"/>
  <c r="AD22" i="6"/>
  <c r="AD29" i="6" s="1"/>
  <c r="M48" i="9" s="1"/>
  <c r="O22" i="6"/>
  <c r="O29" i="6" s="1"/>
  <c r="J22" i="9" s="1"/>
  <c r="AE22" i="6"/>
  <c r="AH22" i="6"/>
  <c r="AH29" i="6" s="1"/>
  <c r="E74" i="9" s="1"/>
  <c r="S22" i="6"/>
  <c r="T22" i="6"/>
  <c r="T29" i="6" s="1"/>
  <c r="C48" i="9" s="1"/>
  <c r="AJ22" i="6"/>
  <c r="AJ29" i="6" s="1"/>
  <c r="G74" i="9" s="1"/>
  <c r="R22" i="6"/>
  <c r="R29" i="6" s="1"/>
  <c r="M22" i="9" s="1"/>
  <c r="AI22" i="6"/>
  <c r="AI29" i="6" s="1"/>
  <c r="F74" i="9" s="1"/>
  <c r="U22" i="6"/>
  <c r="U29" i="6" s="1"/>
  <c r="D48" i="9" s="1"/>
  <c r="AK22" i="6"/>
  <c r="AK29" i="6" s="1"/>
  <c r="H74" i="9" s="1"/>
  <c r="AP17" i="3"/>
  <c r="AP22" i="3" s="1"/>
  <c r="Z17" i="3"/>
  <c r="Z22" i="3" s="1"/>
  <c r="AD17" i="3"/>
  <c r="AD23" i="3" s="1"/>
  <c r="N17" i="3"/>
  <c r="N23" i="3" s="1"/>
  <c r="AG17" i="3"/>
  <c r="AG22" i="3" s="1"/>
  <c r="M17" i="3"/>
  <c r="M22" i="3" s="1"/>
  <c r="Q17" i="3"/>
  <c r="Q23" i="3" s="1"/>
  <c r="AH17" i="3"/>
  <c r="AH23" i="3" s="1"/>
  <c r="R17" i="3"/>
  <c r="R23" i="3" s="1"/>
  <c r="AK17" i="3"/>
  <c r="AK23" i="3" s="1"/>
  <c r="U17" i="3"/>
  <c r="U23" i="3" s="1"/>
  <c r="S17" i="3"/>
  <c r="S22" i="3" s="1"/>
  <c r="G22" i="3"/>
  <c r="J38" i="3" s="1"/>
  <c r="G23" i="3"/>
  <c r="J39" i="3" s="1"/>
  <c r="G21" i="3"/>
  <c r="AI17" i="3"/>
  <c r="AG23" i="3"/>
  <c r="AB17" i="3"/>
  <c r="L17" i="3"/>
  <c r="AO17" i="3"/>
  <c r="Y17" i="3"/>
  <c r="I17" i="3"/>
  <c r="H17" i="3"/>
  <c r="AM17" i="3"/>
  <c r="W17" i="3"/>
  <c r="AJ17" i="3"/>
  <c r="T17" i="3"/>
  <c r="Q22" i="3"/>
  <c r="AE17" i="3"/>
  <c r="O17" i="3"/>
  <c r="J17" i="3"/>
  <c r="K17" i="3"/>
  <c r="AN17" i="3"/>
  <c r="X17" i="3"/>
  <c r="AL17" i="3"/>
  <c r="AF17" i="3"/>
  <c r="AA17" i="3"/>
  <c r="V17" i="3"/>
  <c r="AC17" i="3"/>
  <c r="P17" i="3"/>
  <c r="N60" i="10"/>
  <c r="N70" i="9"/>
  <c r="N18" i="9"/>
  <c r="N88" i="10"/>
  <c r="N24" i="10"/>
  <c r="N96" i="10"/>
  <c r="N29" i="10"/>
  <c r="N101" i="10"/>
  <c r="N65" i="10"/>
  <c r="Q100" i="10"/>
  <c r="P100" i="10"/>
  <c r="N16" i="10"/>
  <c r="N52" i="10"/>
  <c r="N44" i="9"/>
  <c r="M18" i="7"/>
  <c r="M19" i="7"/>
  <c r="N16" i="7"/>
  <c r="J7" i="7"/>
  <c r="H10" i="7"/>
  <c r="I10" i="7" s="1"/>
  <c r="L20" i="7" l="1"/>
  <c r="L21" i="7" s="1"/>
  <c r="M17" i="7" s="1"/>
  <c r="Z21" i="3"/>
  <c r="AD22" i="3"/>
  <c r="Z23" i="3"/>
  <c r="Z6" i="4" s="1"/>
  <c r="Z10" i="4" s="1"/>
  <c r="Z23" i="4" s="1"/>
  <c r="G6" i="4"/>
  <c r="G10" i="4" s="1"/>
  <c r="G23" i="4" s="1"/>
  <c r="AP23" i="3"/>
  <c r="AP21" i="3"/>
  <c r="E69" i="13"/>
  <c r="E5" i="10"/>
  <c r="S29" i="6"/>
  <c r="B48" i="9" s="1"/>
  <c r="N48" i="9" s="1"/>
  <c r="C22" i="6"/>
  <c r="D25" i="12" s="1"/>
  <c r="AE29" i="6"/>
  <c r="B74" i="9" s="1"/>
  <c r="N74" i="9" s="1"/>
  <c r="D22" i="6"/>
  <c r="E25" i="12" s="1"/>
  <c r="G25" i="7"/>
  <c r="B30" i="10" s="1"/>
  <c r="Z58" i="3"/>
  <c r="AC61" i="3"/>
  <c r="AC71" i="3" s="1"/>
  <c r="L35" i="9" s="1"/>
  <c r="L54" i="10" s="1"/>
  <c r="J37" i="3"/>
  <c r="J61" i="3"/>
  <c r="J71" i="3" s="1"/>
  <c r="G58" i="3"/>
  <c r="G70" i="3" s="1"/>
  <c r="N22" i="3"/>
  <c r="U21" i="3"/>
  <c r="M21" i="3"/>
  <c r="N21" i="3"/>
  <c r="AG21" i="3"/>
  <c r="AG6" i="4" s="1"/>
  <c r="AG10" i="4" s="1"/>
  <c r="AG23" i="4" s="1"/>
  <c r="AD21" i="3"/>
  <c r="AD6" i="4" s="1"/>
  <c r="AD10" i="4" s="1"/>
  <c r="AD23" i="4" s="1"/>
  <c r="AK21" i="3"/>
  <c r="AH21" i="3"/>
  <c r="AH22" i="3"/>
  <c r="AK22" i="3"/>
  <c r="M23" i="3"/>
  <c r="Q21" i="3"/>
  <c r="Q6" i="4" s="1"/>
  <c r="Q10" i="4" s="1"/>
  <c r="Q23" i="4" s="1"/>
  <c r="R22" i="3"/>
  <c r="R21" i="3"/>
  <c r="R6" i="4" s="1"/>
  <c r="R10" i="4" s="1"/>
  <c r="R23" i="4" s="1"/>
  <c r="S23" i="3"/>
  <c r="G26" i="3"/>
  <c r="G49" i="3" s="1"/>
  <c r="G51" i="3" s="1"/>
  <c r="U22" i="3"/>
  <c r="S21" i="3"/>
  <c r="V23" i="3"/>
  <c r="V22" i="3"/>
  <c r="V21" i="3"/>
  <c r="AB21" i="3"/>
  <c r="AB22" i="3"/>
  <c r="AB23" i="3"/>
  <c r="AF23" i="3"/>
  <c r="AF22" i="3"/>
  <c r="AF21" i="3"/>
  <c r="T23" i="3"/>
  <c r="T22" i="3"/>
  <c r="T21" i="3"/>
  <c r="AL23" i="3"/>
  <c r="AL22" i="3"/>
  <c r="AL21" i="3"/>
  <c r="AJ23" i="3"/>
  <c r="AJ22" i="3"/>
  <c r="AJ21" i="3"/>
  <c r="X23" i="3"/>
  <c r="X22" i="3"/>
  <c r="X21" i="3"/>
  <c r="AC22" i="3"/>
  <c r="AC21" i="3"/>
  <c r="AC23" i="3"/>
  <c r="AN21" i="3"/>
  <c r="AN23" i="3"/>
  <c r="AN22" i="3"/>
  <c r="K21" i="3"/>
  <c r="K22" i="3"/>
  <c r="K23" i="3"/>
  <c r="J21" i="3"/>
  <c r="J22" i="3"/>
  <c r="J23" i="3"/>
  <c r="W23" i="3"/>
  <c r="W22" i="3"/>
  <c r="W21" i="3"/>
  <c r="L21" i="3"/>
  <c r="L22" i="3"/>
  <c r="L23" i="3"/>
  <c r="AM23" i="3"/>
  <c r="AM22" i="3"/>
  <c r="AM21" i="3"/>
  <c r="AM6" i="4" s="1"/>
  <c r="AM10" i="4" s="1"/>
  <c r="AM23" i="4" s="1"/>
  <c r="AO22" i="3"/>
  <c r="AO23" i="3"/>
  <c r="AO21" i="3"/>
  <c r="AA23" i="3"/>
  <c r="AA22" i="3"/>
  <c r="AA21" i="3"/>
  <c r="AE23" i="3"/>
  <c r="AE22" i="3"/>
  <c r="AE21" i="3"/>
  <c r="O23" i="3"/>
  <c r="O22" i="3"/>
  <c r="O21" i="3"/>
  <c r="AI23" i="3"/>
  <c r="AI22" i="3"/>
  <c r="AI21" i="3"/>
  <c r="H22" i="3"/>
  <c r="K38" i="3" s="1"/>
  <c r="H23" i="3"/>
  <c r="K39" i="3" s="1"/>
  <c r="H21" i="3"/>
  <c r="P23" i="3"/>
  <c r="P22" i="3"/>
  <c r="P21" i="3"/>
  <c r="I22" i="3"/>
  <c r="I23" i="3"/>
  <c r="I21" i="3"/>
  <c r="Y23" i="3"/>
  <c r="Y22" i="3"/>
  <c r="Y21" i="3"/>
  <c r="Y6" i="4" s="1"/>
  <c r="Y10" i="4" s="1"/>
  <c r="Y23" i="4" s="1"/>
  <c r="M20" i="7"/>
  <c r="M21" i="7" s="1"/>
  <c r="N17" i="7" s="1"/>
  <c r="H23" i="7"/>
  <c r="H11" i="7"/>
  <c r="K7" i="7"/>
  <c r="J10" i="7"/>
  <c r="N18" i="7"/>
  <c r="N19" i="7"/>
  <c r="O16" i="7"/>
  <c r="AF6" i="4" l="1"/>
  <c r="AF10" i="4" s="1"/>
  <c r="AF23" i="4" s="1"/>
  <c r="AB6" i="4"/>
  <c r="AB10" i="4" s="1"/>
  <c r="AB23" i="4" s="1"/>
  <c r="I6" i="4"/>
  <c r="I10" i="4" s="1"/>
  <c r="I23" i="4" s="1"/>
  <c r="J6" i="4"/>
  <c r="J10" i="4" s="1"/>
  <c r="J23" i="4" s="1"/>
  <c r="AK6" i="4"/>
  <c r="AK10" i="4" s="1"/>
  <c r="AK23" i="4" s="1"/>
  <c r="AK33" i="4" s="1"/>
  <c r="K6" i="4"/>
  <c r="K10" i="4" s="1"/>
  <c r="K23" i="4" s="1"/>
  <c r="K33" i="4" s="1"/>
  <c r="W6" i="4"/>
  <c r="W10" i="4" s="1"/>
  <c r="W23" i="4" s="1"/>
  <c r="W33" i="4" s="1"/>
  <c r="AL6" i="4"/>
  <c r="AL10" i="4" s="1"/>
  <c r="AL23" i="4" s="1"/>
  <c r="AL33" i="4" s="1"/>
  <c r="M6" i="4"/>
  <c r="M10" i="4" s="1"/>
  <c r="M23" i="4" s="1"/>
  <c r="M33" i="4" s="1"/>
  <c r="Z33" i="4"/>
  <c r="AF33" i="4"/>
  <c r="J66" i="3"/>
  <c r="J13" i="4"/>
  <c r="J17" i="4" s="1"/>
  <c r="J26" i="4" s="1"/>
  <c r="J36" i="4" s="1"/>
  <c r="AJ6" i="4"/>
  <c r="AJ10" i="4" s="1"/>
  <c r="AJ23" i="4" s="1"/>
  <c r="J42" i="3"/>
  <c r="J50" i="3" s="1"/>
  <c r="Y33" i="4"/>
  <c r="AA6" i="4"/>
  <c r="AA10" i="4" s="1"/>
  <c r="AA23" i="4" s="1"/>
  <c r="AI6" i="4"/>
  <c r="AI10" i="4" s="1"/>
  <c r="AI23" i="4" s="1"/>
  <c r="L6" i="4"/>
  <c r="L10" i="4" s="1"/>
  <c r="L23" i="4" s="1"/>
  <c r="AD33" i="4"/>
  <c r="AG33" i="4"/>
  <c r="AN6" i="4"/>
  <c r="AN10" i="4" s="1"/>
  <c r="AN23" i="4" s="1"/>
  <c r="N6" i="4"/>
  <c r="N10" i="4" s="1"/>
  <c r="N23" i="4" s="1"/>
  <c r="AB33" i="4"/>
  <c r="Q33" i="4"/>
  <c r="AP58" i="3"/>
  <c r="AP6" i="4"/>
  <c r="AP10" i="4" s="1"/>
  <c r="AP23" i="4" s="1"/>
  <c r="R33" i="4"/>
  <c r="AO58" i="3"/>
  <c r="AO6" i="4"/>
  <c r="AO10" i="4" s="1"/>
  <c r="AO23" i="4" s="1"/>
  <c r="O6" i="4"/>
  <c r="O10" i="4" s="1"/>
  <c r="O23" i="4" s="1"/>
  <c r="P6" i="4"/>
  <c r="P10" i="4" s="1"/>
  <c r="P23" i="4" s="1"/>
  <c r="AC6" i="4"/>
  <c r="AC10" i="4" s="1"/>
  <c r="AC23" i="4" s="1"/>
  <c r="V6" i="4"/>
  <c r="V10" i="4" s="1"/>
  <c r="V23" i="4" s="1"/>
  <c r="U6" i="4"/>
  <c r="U10" i="4" s="1"/>
  <c r="U23" i="4" s="1"/>
  <c r="AM33" i="4"/>
  <c r="T6" i="4"/>
  <c r="T10" i="4" s="1"/>
  <c r="T23" i="4" s="1"/>
  <c r="G53" i="4"/>
  <c r="G33" i="4"/>
  <c r="G41" i="4" s="1"/>
  <c r="G43" i="4" s="1"/>
  <c r="G46" i="4" s="1"/>
  <c r="B13" i="9" s="1"/>
  <c r="B19" i="10" s="1"/>
  <c r="I53" i="4"/>
  <c r="I33" i="4"/>
  <c r="I41" i="4" s="1"/>
  <c r="I43" i="4" s="1"/>
  <c r="I46" i="4" s="1"/>
  <c r="D13" i="9" s="1"/>
  <c r="D19" i="10" s="1"/>
  <c r="AE6" i="4"/>
  <c r="AE10" i="4" s="1"/>
  <c r="AE23" i="4" s="1"/>
  <c r="J33" i="4"/>
  <c r="X6" i="4"/>
  <c r="X10" i="4" s="1"/>
  <c r="X23" i="4" s="1"/>
  <c r="B8" i="9"/>
  <c r="H6" i="4"/>
  <c r="H10" i="4" s="1"/>
  <c r="H23" i="4" s="1"/>
  <c r="S6" i="4"/>
  <c r="S10" i="4" s="1"/>
  <c r="S23" i="4" s="1"/>
  <c r="AH6" i="4"/>
  <c r="AH10" i="4" s="1"/>
  <c r="AH23" i="4" s="1"/>
  <c r="E9" i="9"/>
  <c r="F69" i="13"/>
  <c r="F5" i="10"/>
  <c r="B7" i="9"/>
  <c r="G11" i="5"/>
  <c r="H24" i="7"/>
  <c r="C21" i="9" s="1"/>
  <c r="H9" i="7"/>
  <c r="H12" i="7" s="1"/>
  <c r="AD58" i="3"/>
  <c r="AG61" i="3"/>
  <c r="AG71" i="3" s="1"/>
  <c r="D61" i="9" s="1"/>
  <c r="D90" i="10" s="1"/>
  <c r="AK58" i="3"/>
  <c r="AN61" i="3"/>
  <c r="AN71" i="3" s="1"/>
  <c r="K61" i="9" s="1"/>
  <c r="K90" i="10" s="1"/>
  <c r="AE58" i="3"/>
  <c r="AH61" i="3"/>
  <c r="AH71" i="3" s="1"/>
  <c r="E61" i="9" s="1"/>
  <c r="E90" i="10" s="1"/>
  <c r="AJ58" i="3"/>
  <c r="AM61" i="3"/>
  <c r="AM71" i="3" s="1"/>
  <c r="J61" i="9" s="1"/>
  <c r="J90" i="10" s="1"/>
  <c r="AG58" i="3"/>
  <c r="AJ61" i="3"/>
  <c r="AJ71" i="3" s="1"/>
  <c r="G61" i="9" s="1"/>
  <c r="G90" i="10" s="1"/>
  <c r="N58" i="3"/>
  <c r="Q61" i="3"/>
  <c r="Q71" i="3" s="1"/>
  <c r="L9" i="9" s="1"/>
  <c r="L18" i="10" s="1"/>
  <c r="AA61" i="3"/>
  <c r="AA71" i="3" s="1"/>
  <c r="J35" i="9" s="1"/>
  <c r="J54" i="10" s="1"/>
  <c r="X58" i="3"/>
  <c r="AA58" i="3"/>
  <c r="AD61" i="3"/>
  <c r="AD71" i="3" s="1"/>
  <c r="M35" i="9" s="1"/>
  <c r="M54" i="10" s="1"/>
  <c r="S58" i="3"/>
  <c r="V61" i="3"/>
  <c r="V71" i="3" s="1"/>
  <c r="E35" i="9" s="1"/>
  <c r="E54" i="10" s="1"/>
  <c r="M58" i="3"/>
  <c r="P61" i="3"/>
  <c r="P71" i="3" s="1"/>
  <c r="K9" i="9" s="1"/>
  <c r="K18" i="10" s="1"/>
  <c r="AH58" i="3"/>
  <c r="AK61" i="3"/>
  <c r="AK71" i="3" s="1"/>
  <c r="H61" i="9" s="1"/>
  <c r="H90" i="10" s="1"/>
  <c r="P58" i="3"/>
  <c r="S61" i="3"/>
  <c r="S71" i="3" s="1"/>
  <c r="U58" i="3"/>
  <c r="X61" i="3"/>
  <c r="X71" i="3" s="1"/>
  <c r="G35" i="9" s="1"/>
  <c r="G54" i="10" s="1"/>
  <c r="O58" i="3"/>
  <c r="R61" i="3"/>
  <c r="R71" i="3" s="1"/>
  <c r="M9" i="9" s="1"/>
  <c r="M18" i="10" s="1"/>
  <c r="L58" i="3"/>
  <c r="O61" i="3"/>
  <c r="O71" i="3" s="1"/>
  <c r="J9" i="9" s="1"/>
  <c r="J18" i="10" s="1"/>
  <c r="L61" i="3"/>
  <c r="L71" i="3" s="1"/>
  <c r="G9" i="9" s="1"/>
  <c r="G18" i="10" s="1"/>
  <c r="I58" i="3"/>
  <c r="I70" i="3" s="1"/>
  <c r="D8" i="9" s="1"/>
  <c r="D17" i="10" s="1"/>
  <c r="AO61" i="3"/>
  <c r="AO71" i="3" s="1"/>
  <c r="L61" i="9" s="1"/>
  <c r="L90" i="10" s="1"/>
  <c r="AL58" i="3"/>
  <c r="K58" i="3"/>
  <c r="N61" i="3"/>
  <c r="N71" i="3" s="1"/>
  <c r="I9" i="9" s="1"/>
  <c r="I18" i="10" s="1"/>
  <c r="T26" i="3"/>
  <c r="T49" i="3" s="1"/>
  <c r="T58" i="3"/>
  <c r="W61" i="3"/>
  <c r="W71" i="3" s="1"/>
  <c r="F35" i="9" s="1"/>
  <c r="F54" i="10" s="1"/>
  <c r="R58" i="3"/>
  <c r="U61" i="3"/>
  <c r="U71" i="3" s="1"/>
  <c r="D35" i="9" s="1"/>
  <c r="D54" i="10" s="1"/>
  <c r="AC58" i="3"/>
  <c r="AF61" i="3"/>
  <c r="AF71" i="3" s="1"/>
  <c r="C61" i="9" s="1"/>
  <c r="C90" i="10" s="1"/>
  <c r="Z61" i="3"/>
  <c r="Z71" i="3" s="1"/>
  <c r="I35" i="9" s="1"/>
  <c r="I54" i="10" s="1"/>
  <c r="W58" i="3"/>
  <c r="Y61" i="3"/>
  <c r="Y71" i="3" s="1"/>
  <c r="H35" i="9" s="1"/>
  <c r="H54" i="10" s="1"/>
  <c r="V58" i="3"/>
  <c r="AP61" i="3"/>
  <c r="AP71" i="3" s="1"/>
  <c r="M61" i="9" s="1"/>
  <c r="M90" i="10" s="1"/>
  <c r="AM58" i="3"/>
  <c r="Q58" i="3"/>
  <c r="T61" i="3"/>
  <c r="T71" i="3" s="1"/>
  <c r="C35" i="9" s="1"/>
  <c r="C54" i="10" s="1"/>
  <c r="AB61" i="3"/>
  <c r="AB71" i="3" s="1"/>
  <c r="K35" i="9" s="1"/>
  <c r="K54" i="10" s="1"/>
  <c r="Y58" i="3"/>
  <c r="AB58" i="3"/>
  <c r="AE61" i="3"/>
  <c r="AE71" i="3" s="1"/>
  <c r="B61" i="9" s="1"/>
  <c r="M61" i="3"/>
  <c r="M71" i="3" s="1"/>
  <c r="H9" i="9" s="1"/>
  <c r="H18" i="10" s="1"/>
  <c r="J58" i="3"/>
  <c r="K37" i="3"/>
  <c r="K61" i="3"/>
  <c r="K71" i="3" s="1"/>
  <c r="F9" i="9" s="1"/>
  <c r="F18" i="10" s="1"/>
  <c r="H58" i="3"/>
  <c r="H70" i="3" s="1"/>
  <c r="C8" i="9" s="1"/>
  <c r="C17" i="10" s="1"/>
  <c r="AI58" i="3"/>
  <c r="AL61" i="3"/>
  <c r="AL71" i="3" s="1"/>
  <c r="I61" i="9" s="1"/>
  <c r="I90" i="10" s="1"/>
  <c r="AN58" i="3"/>
  <c r="AF58" i="3"/>
  <c r="AI61" i="3"/>
  <c r="AI71" i="3" s="1"/>
  <c r="P26" i="3"/>
  <c r="P49" i="3" s="1"/>
  <c r="U26" i="3"/>
  <c r="U49" i="3" s="1"/>
  <c r="S26" i="3"/>
  <c r="S49" i="3" s="1"/>
  <c r="AG26" i="3"/>
  <c r="AG49" i="3" s="1"/>
  <c r="L38" i="3"/>
  <c r="M38" i="3" s="1"/>
  <c r="N38" i="3" s="1"/>
  <c r="O38" i="3" s="1"/>
  <c r="P38" i="3" s="1"/>
  <c r="Q38" i="3" s="1"/>
  <c r="R38" i="3" s="1"/>
  <c r="S38" i="3" s="1"/>
  <c r="T38" i="3" s="1"/>
  <c r="U38" i="3" s="1"/>
  <c r="V38" i="3" s="1"/>
  <c r="W38" i="3" s="1"/>
  <c r="X38" i="3" s="1"/>
  <c r="Y38" i="3" s="1"/>
  <c r="Z38" i="3" s="1"/>
  <c r="AA38" i="3" s="1"/>
  <c r="AB38" i="3" s="1"/>
  <c r="AC38" i="3" s="1"/>
  <c r="AD38" i="3" s="1"/>
  <c r="AE38" i="3" s="1"/>
  <c r="AF38" i="3" s="1"/>
  <c r="AG38" i="3" s="1"/>
  <c r="AH38" i="3" s="1"/>
  <c r="AI38" i="3" s="1"/>
  <c r="AJ38" i="3" s="1"/>
  <c r="AK38" i="3" s="1"/>
  <c r="AL38" i="3" s="1"/>
  <c r="AM38" i="3" s="1"/>
  <c r="AN38" i="3" s="1"/>
  <c r="AO38" i="3" s="1"/>
  <c r="AP38" i="3" s="1"/>
  <c r="L39" i="3"/>
  <c r="M39" i="3" s="1"/>
  <c r="N39" i="3" s="1"/>
  <c r="O39" i="3" s="1"/>
  <c r="P39" i="3" s="1"/>
  <c r="Q39" i="3" s="1"/>
  <c r="R39" i="3" s="1"/>
  <c r="S39" i="3" s="1"/>
  <c r="T39" i="3" s="1"/>
  <c r="U39" i="3" s="1"/>
  <c r="V39" i="3" s="1"/>
  <c r="W39" i="3" s="1"/>
  <c r="X39" i="3" s="1"/>
  <c r="Y39" i="3" s="1"/>
  <c r="Z39" i="3" s="1"/>
  <c r="AA39" i="3" s="1"/>
  <c r="AB39" i="3" s="1"/>
  <c r="AC39" i="3" s="1"/>
  <c r="AD39" i="3" s="1"/>
  <c r="AE39" i="3" s="1"/>
  <c r="AF39" i="3" s="1"/>
  <c r="AG39" i="3" s="1"/>
  <c r="AH39" i="3" s="1"/>
  <c r="AI39" i="3" s="1"/>
  <c r="AJ39" i="3" s="1"/>
  <c r="AK39" i="3" s="1"/>
  <c r="AL39" i="3" s="1"/>
  <c r="AM39" i="3" s="1"/>
  <c r="AN39" i="3" s="1"/>
  <c r="AO39" i="3" s="1"/>
  <c r="AP39" i="3" s="1"/>
  <c r="K42" i="3"/>
  <c r="K50" i="3" s="1"/>
  <c r="Q26" i="3"/>
  <c r="Q49" i="3" s="1"/>
  <c r="Z26" i="3"/>
  <c r="Z49" i="3" s="1"/>
  <c r="AJ26" i="3"/>
  <c r="AJ49" i="3" s="1"/>
  <c r="AD26" i="3"/>
  <c r="AD49" i="3" s="1"/>
  <c r="AO26" i="3"/>
  <c r="AO49" i="3" s="1"/>
  <c r="AA26" i="3"/>
  <c r="AA49" i="3" s="1"/>
  <c r="M26" i="3"/>
  <c r="M49" i="3" s="1"/>
  <c r="AI26" i="3"/>
  <c r="AI49" i="3" s="1"/>
  <c r="AH26" i="3"/>
  <c r="AH49" i="3" s="1"/>
  <c r="I26" i="3"/>
  <c r="I49" i="3" s="1"/>
  <c r="I51" i="3" s="1"/>
  <c r="H26" i="3"/>
  <c r="H49" i="3" s="1"/>
  <c r="H51" i="3" s="1"/>
  <c r="R26" i="3"/>
  <c r="R49" i="3" s="1"/>
  <c r="AK26" i="3"/>
  <c r="AK49" i="3" s="1"/>
  <c r="AM26" i="3"/>
  <c r="AM49" i="3" s="1"/>
  <c r="J26" i="3"/>
  <c r="J49" i="3" s="1"/>
  <c r="AN26" i="3"/>
  <c r="AN49" i="3" s="1"/>
  <c r="AF26" i="3"/>
  <c r="AF49" i="3" s="1"/>
  <c r="AC26" i="3"/>
  <c r="AC49" i="3" s="1"/>
  <c r="AP26" i="3"/>
  <c r="AP49" i="3" s="1"/>
  <c r="O26" i="3"/>
  <c r="O49" i="3" s="1"/>
  <c r="L26" i="3"/>
  <c r="L49" i="3" s="1"/>
  <c r="X26" i="3"/>
  <c r="X49" i="3" s="1"/>
  <c r="W26" i="3"/>
  <c r="W49" i="3" s="1"/>
  <c r="AB26" i="3"/>
  <c r="AB49" i="3" s="1"/>
  <c r="N26" i="3"/>
  <c r="N49" i="3" s="1"/>
  <c r="AL26" i="3"/>
  <c r="AL49" i="3" s="1"/>
  <c r="K26" i="3"/>
  <c r="K49" i="3" s="1"/>
  <c r="Y26" i="3"/>
  <c r="Y49" i="3" s="1"/>
  <c r="AE26" i="3"/>
  <c r="AE49" i="3" s="1"/>
  <c r="V26" i="3"/>
  <c r="V49" i="3" s="1"/>
  <c r="N20" i="7"/>
  <c r="N21" i="7" s="1"/>
  <c r="O17" i="7" s="1"/>
  <c r="O19" i="7"/>
  <c r="P16" i="7"/>
  <c r="O18" i="7"/>
  <c r="L7" i="7"/>
  <c r="K10" i="7"/>
  <c r="S33" i="4" l="1"/>
  <c r="AO33" i="4"/>
  <c r="H53" i="4"/>
  <c r="H33" i="4"/>
  <c r="H41" i="4" s="1"/>
  <c r="H43" i="4" s="1"/>
  <c r="H46" i="4" s="1"/>
  <c r="C13" i="9" s="1"/>
  <c r="C19" i="10" s="1"/>
  <c r="G6" i="5"/>
  <c r="G54" i="4"/>
  <c r="G7" i="5" s="1"/>
  <c r="G55" i="4"/>
  <c r="G8" i="5" s="1"/>
  <c r="G67" i="5" s="1"/>
  <c r="L33" i="4"/>
  <c r="N33" i="4"/>
  <c r="B17" i="10"/>
  <c r="AA33" i="4"/>
  <c r="T33" i="4"/>
  <c r="K66" i="3"/>
  <c r="K70" i="3" s="1"/>
  <c r="F8" i="9" s="1"/>
  <c r="K13" i="4"/>
  <c r="K17" i="4" s="1"/>
  <c r="K26" i="4" s="1"/>
  <c r="X33" i="4"/>
  <c r="AP33" i="4"/>
  <c r="AI33" i="4"/>
  <c r="J51" i="3"/>
  <c r="E7" i="9" s="1"/>
  <c r="J70" i="3"/>
  <c r="E8" i="9" s="1"/>
  <c r="E17" i="10" s="1"/>
  <c r="J41" i="4"/>
  <c r="J43" i="4" s="1"/>
  <c r="J46" i="4" s="1"/>
  <c r="E13" i="9" s="1"/>
  <c r="E19" i="10" s="1"/>
  <c r="U33" i="4"/>
  <c r="AN33" i="4"/>
  <c r="J53" i="4"/>
  <c r="V33" i="4"/>
  <c r="D71" i="3"/>
  <c r="E12" i="12" s="1"/>
  <c r="F61" i="9"/>
  <c r="F90" i="10" s="1"/>
  <c r="B90" i="10"/>
  <c r="N90" i="10" s="1"/>
  <c r="N61" i="9"/>
  <c r="B71" i="3"/>
  <c r="C12" i="12" s="1"/>
  <c r="AE33" i="4"/>
  <c r="AC33" i="4"/>
  <c r="AJ33" i="4"/>
  <c r="C71" i="3"/>
  <c r="D12" i="12" s="1"/>
  <c r="B35" i="9"/>
  <c r="E18" i="10"/>
  <c r="N18" i="10" s="1"/>
  <c r="N9" i="9"/>
  <c r="P33" i="4"/>
  <c r="AH33" i="4"/>
  <c r="I6" i="5"/>
  <c r="I54" i="4"/>
  <c r="I7" i="5" s="1"/>
  <c r="I55" i="4"/>
  <c r="I8" i="5" s="1"/>
  <c r="I67" i="5" s="1"/>
  <c r="D19" i="9" s="1"/>
  <c r="D25" i="10" s="1"/>
  <c r="O33" i="4"/>
  <c r="G69" i="13"/>
  <c r="G5" i="10"/>
  <c r="C7" i="9"/>
  <c r="H11" i="5"/>
  <c r="D7" i="9"/>
  <c r="I11" i="5"/>
  <c r="G45" i="5"/>
  <c r="G74" i="5"/>
  <c r="B9" i="10"/>
  <c r="B10" i="9"/>
  <c r="C27" i="10"/>
  <c r="L37" i="3"/>
  <c r="L42" i="3" s="1"/>
  <c r="L50" i="3" s="1"/>
  <c r="L51" i="3" s="1"/>
  <c r="K51" i="3"/>
  <c r="B49" i="3"/>
  <c r="D49" i="3"/>
  <c r="C49" i="3"/>
  <c r="O20" i="7"/>
  <c r="O21" i="7" s="1"/>
  <c r="P17" i="7" s="1"/>
  <c r="H25" i="7"/>
  <c r="C30" i="10" s="1"/>
  <c r="I8" i="7"/>
  <c r="P18" i="7"/>
  <c r="Q16" i="7"/>
  <c r="P19" i="7"/>
  <c r="M7" i="7"/>
  <c r="L10" i="7"/>
  <c r="J11" i="5" l="1"/>
  <c r="I56" i="4"/>
  <c r="I9" i="5" s="1"/>
  <c r="F17" i="10"/>
  <c r="G27" i="5"/>
  <c r="G17" i="5"/>
  <c r="G23" i="5" s="1"/>
  <c r="B14" i="9" s="1"/>
  <c r="B20" i="10" s="1"/>
  <c r="G41" i="5"/>
  <c r="G46" i="5"/>
  <c r="G51" i="5" s="1"/>
  <c r="B17" i="9" s="1"/>
  <c r="G29" i="5"/>
  <c r="B54" i="10"/>
  <c r="N54" i="10" s="1"/>
  <c r="N35" i="9"/>
  <c r="L66" i="3"/>
  <c r="L70" i="3" s="1"/>
  <c r="G8" i="9" s="1"/>
  <c r="G17" i="10" s="1"/>
  <c r="L13" i="4"/>
  <c r="L17" i="4" s="1"/>
  <c r="L26" i="4" s="1"/>
  <c r="K36" i="4"/>
  <c r="K41" i="4" s="1"/>
  <c r="K43" i="4" s="1"/>
  <c r="K46" i="4" s="1"/>
  <c r="F13" i="9" s="1"/>
  <c r="K53" i="4"/>
  <c r="H6" i="5"/>
  <c r="H55" i="4"/>
  <c r="H8" i="5" s="1"/>
  <c r="H67" i="5" s="1"/>
  <c r="C19" i="9" s="1"/>
  <c r="C25" i="10" s="1"/>
  <c r="H54" i="4"/>
  <c r="H7" i="5" s="1"/>
  <c r="I17" i="5"/>
  <c r="I23" i="5" s="1"/>
  <c r="D14" i="9" s="1"/>
  <c r="D20" i="10" s="1"/>
  <c r="I27" i="5"/>
  <c r="J6" i="5"/>
  <c r="J55" i="4"/>
  <c r="J8" i="5" s="1"/>
  <c r="J67" i="5" s="1"/>
  <c r="E19" i="9" s="1"/>
  <c r="E25" i="10" s="1"/>
  <c r="J54" i="4"/>
  <c r="J7" i="5" s="1"/>
  <c r="M37" i="3"/>
  <c r="I29" i="5"/>
  <c r="I41" i="5"/>
  <c r="D16" i="9" s="1"/>
  <c r="D22" i="10" s="1"/>
  <c r="I46" i="5"/>
  <c r="G56" i="4"/>
  <c r="G9" i="5" s="1"/>
  <c r="G28" i="5" s="1"/>
  <c r="B19" i="9"/>
  <c r="H69" i="13"/>
  <c r="H5" i="10"/>
  <c r="B20" i="9"/>
  <c r="F7" i="9"/>
  <c r="K11" i="5"/>
  <c r="I45" i="5"/>
  <c r="I74" i="5"/>
  <c r="D20" i="9" s="1"/>
  <c r="D26" i="10" s="1"/>
  <c r="D9" i="10"/>
  <c r="D12" i="10" s="1"/>
  <c r="D10" i="9"/>
  <c r="H45" i="5"/>
  <c r="H74" i="5"/>
  <c r="C20" i="9" s="1"/>
  <c r="C26" i="10" s="1"/>
  <c r="B12" i="10"/>
  <c r="B13" i="10" s="1"/>
  <c r="J45" i="5"/>
  <c r="J74" i="5"/>
  <c r="E20" i="9" s="1"/>
  <c r="E26" i="10" s="1"/>
  <c r="E9" i="10"/>
  <c r="E12" i="10" s="1"/>
  <c r="E10" i="9"/>
  <c r="C9" i="10"/>
  <c r="C12" i="10" s="1"/>
  <c r="C10" i="9"/>
  <c r="G7" i="9"/>
  <c r="L11" i="5"/>
  <c r="N37" i="3"/>
  <c r="M42" i="3"/>
  <c r="M50" i="3" s="1"/>
  <c r="M51" i="3" s="1"/>
  <c r="P20" i="7"/>
  <c r="P21" i="7" s="1"/>
  <c r="Q17" i="7" s="1"/>
  <c r="N7" i="7"/>
  <c r="M10" i="7"/>
  <c r="Q19" i="7"/>
  <c r="R16" i="7"/>
  <c r="Q18" i="7"/>
  <c r="I23" i="7"/>
  <c r="I11" i="7"/>
  <c r="G33" i="5" l="1"/>
  <c r="B15" i="9" s="1"/>
  <c r="B21" i="10" s="1"/>
  <c r="I51" i="5"/>
  <c r="D17" i="9" s="1"/>
  <c r="J27" i="5"/>
  <c r="J17" i="5"/>
  <c r="J23" i="5" s="1"/>
  <c r="E14" i="9" s="1"/>
  <c r="J41" i="5"/>
  <c r="E16" i="9" s="1"/>
  <c r="E22" i="10" s="1"/>
  <c r="J29" i="5"/>
  <c r="J46" i="5"/>
  <c r="J51" i="5" s="1"/>
  <c r="E17" i="9" s="1"/>
  <c r="E23" i="10" s="1"/>
  <c r="K6" i="5"/>
  <c r="K55" i="4"/>
  <c r="K8" i="5" s="1"/>
  <c r="K67" i="5" s="1"/>
  <c r="F19" i="9" s="1"/>
  <c r="F25" i="10" s="1"/>
  <c r="K54" i="4"/>
  <c r="K7" i="5" s="1"/>
  <c r="B16" i="9"/>
  <c r="F19" i="10"/>
  <c r="M66" i="3"/>
  <c r="M70" i="3" s="1"/>
  <c r="M13" i="4"/>
  <c r="M17" i="4" s="1"/>
  <c r="M26" i="4" s="1"/>
  <c r="L36" i="4"/>
  <c r="L41" i="4" s="1"/>
  <c r="L43" i="4" s="1"/>
  <c r="L46" i="4" s="1"/>
  <c r="L53" i="4"/>
  <c r="H17" i="5"/>
  <c r="H23" i="5" s="1"/>
  <c r="H27" i="5"/>
  <c r="N66" i="3"/>
  <c r="N70" i="3" s="1"/>
  <c r="I8" i="9" s="1"/>
  <c r="I17" i="10" s="1"/>
  <c r="N13" i="4"/>
  <c r="N17" i="4" s="1"/>
  <c r="N26" i="4" s="1"/>
  <c r="B25" i="10"/>
  <c r="H56" i="4"/>
  <c r="H9" i="5" s="1"/>
  <c r="J56" i="4"/>
  <c r="J9" i="5" s="1"/>
  <c r="J28" i="5" s="1"/>
  <c r="H29" i="5"/>
  <c r="H41" i="5"/>
  <c r="C16" i="9" s="1"/>
  <c r="C22" i="10" s="1"/>
  <c r="H46" i="5"/>
  <c r="H51" i="5" s="1"/>
  <c r="C17" i="9" s="1"/>
  <c r="C23" i="10" s="1"/>
  <c r="I69" i="13"/>
  <c r="I5" i="10"/>
  <c r="L45" i="5"/>
  <c r="L74" i="5"/>
  <c r="G20" i="9" s="1"/>
  <c r="G26" i="10" s="1"/>
  <c r="B23" i="10"/>
  <c r="B23" i="9"/>
  <c r="B25" i="9" s="1"/>
  <c r="D23" i="10"/>
  <c r="H7" i="9"/>
  <c r="M11" i="5"/>
  <c r="K45" i="5"/>
  <c r="K74" i="5"/>
  <c r="F20" i="9" s="1"/>
  <c r="F26" i="10" s="1"/>
  <c r="F9" i="10"/>
  <c r="F12" i="10" s="1"/>
  <c r="F10" i="9"/>
  <c r="G9" i="10"/>
  <c r="G12" i="10" s="1"/>
  <c r="G10" i="9"/>
  <c r="B26" i="10"/>
  <c r="I24" i="7"/>
  <c r="D21" i="9" s="1"/>
  <c r="I9" i="7"/>
  <c r="I12" i="7" s="1"/>
  <c r="O37" i="3"/>
  <c r="N42" i="3"/>
  <c r="N50" i="3" s="1"/>
  <c r="N51" i="3" s="1"/>
  <c r="Q20" i="7"/>
  <c r="Q21" i="7" s="1"/>
  <c r="R17" i="7" s="1"/>
  <c r="S16" i="7"/>
  <c r="R18" i="7"/>
  <c r="R19" i="7"/>
  <c r="N10" i="7"/>
  <c r="O7" i="7"/>
  <c r="K56" i="4" l="1"/>
  <c r="K9" i="5" s="1"/>
  <c r="K28" i="5" s="1"/>
  <c r="H28" i="5"/>
  <c r="H33" i="5" s="1"/>
  <c r="I28" i="5"/>
  <c r="I33" i="5" s="1"/>
  <c r="D15" i="9" s="1"/>
  <c r="L6" i="5"/>
  <c r="L54" i="4"/>
  <c r="L7" i="5" s="1"/>
  <c r="L55" i="4"/>
  <c r="L8" i="5" s="1"/>
  <c r="L67" i="5" s="1"/>
  <c r="G19" i="9" s="1"/>
  <c r="G25" i="10" s="1"/>
  <c r="L56" i="4"/>
  <c r="L9" i="5" s="1"/>
  <c r="L28" i="5" s="1"/>
  <c r="G13" i="9"/>
  <c r="H8" i="9"/>
  <c r="K41" i="5"/>
  <c r="F16" i="9" s="1"/>
  <c r="F22" i="10" s="1"/>
  <c r="K46" i="5"/>
  <c r="K51" i="5" s="1"/>
  <c r="F17" i="9" s="1"/>
  <c r="F23" i="10" s="1"/>
  <c r="K29" i="5"/>
  <c r="N36" i="4"/>
  <c r="N41" i="4" s="1"/>
  <c r="N43" i="4" s="1"/>
  <c r="N46" i="4" s="1"/>
  <c r="I13" i="9" s="1"/>
  <c r="I19" i="10" s="1"/>
  <c r="N53" i="4"/>
  <c r="E20" i="10"/>
  <c r="O66" i="3"/>
  <c r="O70" i="3" s="1"/>
  <c r="J8" i="9" s="1"/>
  <c r="J17" i="10" s="1"/>
  <c r="O13" i="4"/>
  <c r="O17" i="4" s="1"/>
  <c r="O26" i="4" s="1"/>
  <c r="K17" i="5"/>
  <c r="K23" i="5" s="1"/>
  <c r="F14" i="9" s="1"/>
  <c r="F20" i="10" s="1"/>
  <c r="K27" i="5"/>
  <c r="M36" i="4"/>
  <c r="M41" i="4" s="1"/>
  <c r="M43" i="4" s="1"/>
  <c r="M46" i="4" s="1"/>
  <c r="H13" i="9" s="1"/>
  <c r="H19" i="10" s="1"/>
  <c r="M53" i="4"/>
  <c r="J33" i="5"/>
  <c r="E15" i="9" s="1"/>
  <c r="E21" i="10" s="1"/>
  <c r="C14" i="9"/>
  <c r="B22" i="10"/>
  <c r="J69" i="13"/>
  <c r="J5" i="10"/>
  <c r="B32" i="10"/>
  <c r="B33" i="10" s="1"/>
  <c r="B35" i="10" s="1"/>
  <c r="M45" i="5"/>
  <c r="M74" i="5"/>
  <c r="H20" i="9" s="1"/>
  <c r="H26" i="10" s="1"/>
  <c r="H9" i="10"/>
  <c r="I7" i="9"/>
  <c r="N11" i="5"/>
  <c r="D27" i="10"/>
  <c r="P37" i="3"/>
  <c r="O42" i="3"/>
  <c r="O50" i="3" s="1"/>
  <c r="O51" i="3" s="1"/>
  <c r="R20" i="7"/>
  <c r="R21" i="7" s="1"/>
  <c r="S17" i="7" s="1"/>
  <c r="O10" i="7"/>
  <c r="P7" i="7"/>
  <c r="I25" i="7"/>
  <c r="D30" i="10" s="1"/>
  <c r="J8" i="7"/>
  <c r="T16" i="7"/>
  <c r="S18" i="7"/>
  <c r="S19" i="7"/>
  <c r="E23" i="9" l="1"/>
  <c r="E25" i="9" s="1"/>
  <c r="H17" i="10"/>
  <c r="M6" i="5"/>
  <c r="M54" i="4"/>
  <c r="M7" i="5" s="1"/>
  <c r="M17" i="5" s="1"/>
  <c r="M23" i="5" s="1"/>
  <c r="H14" i="9" s="1"/>
  <c r="H20" i="10" s="1"/>
  <c r="M55" i="4"/>
  <c r="M8" i="5" s="1"/>
  <c r="M67" i="5" s="1"/>
  <c r="M56" i="4"/>
  <c r="M9" i="5" s="1"/>
  <c r="M28" i="5" s="1"/>
  <c r="N6" i="5"/>
  <c r="N55" i="4"/>
  <c r="N8" i="5" s="1"/>
  <c r="N67" i="5" s="1"/>
  <c r="I19" i="9" s="1"/>
  <c r="I25" i="10" s="1"/>
  <c r="N54" i="4"/>
  <c r="N7" i="5" s="1"/>
  <c r="G19" i="10"/>
  <c r="K33" i="5"/>
  <c r="F15" i="9" s="1"/>
  <c r="L17" i="5"/>
  <c r="L23" i="5" s="1"/>
  <c r="L27" i="5"/>
  <c r="L46" i="5"/>
  <c r="L51" i="5" s="1"/>
  <c r="G17" i="9" s="1"/>
  <c r="G23" i="10" s="1"/>
  <c r="L29" i="5"/>
  <c r="L41" i="5"/>
  <c r="H10" i="9"/>
  <c r="P66" i="3"/>
  <c r="P70" i="3" s="1"/>
  <c r="P13" i="4"/>
  <c r="P17" i="4" s="1"/>
  <c r="P26" i="4" s="1"/>
  <c r="C20" i="10"/>
  <c r="O36" i="4"/>
  <c r="O41" i="4" s="1"/>
  <c r="O43" i="4" s="1"/>
  <c r="O46" i="4" s="1"/>
  <c r="O53" i="4"/>
  <c r="D21" i="10"/>
  <c r="D23" i="9"/>
  <c r="D25" i="9" s="1"/>
  <c r="C15" i="9"/>
  <c r="C23" i="9" s="1"/>
  <c r="C25" i="9" s="1"/>
  <c r="K69" i="13"/>
  <c r="K5" i="10"/>
  <c r="N45" i="5"/>
  <c r="N74" i="5"/>
  <c r="C7" i="10"/>
  <c r="C13" i="10" s="1"/>
  <c r="C70" i="13"/>
  <c r="J7" i="9"/>
  <c r="O11" i="5"/>
  <c r="I9" i="10"/>
  <c r="I12" i="10" s="1"/>
  <c r="I10" i="9"/>
  <c r="H12" i="10"/>
  <c r="Q37" i="3"/>
  <c r="P42" i="3"/>
  <c r="P50" i="3" s="1"/>
  <c r="S20" i="7"/>
  <c r="S21" i="7" s="1"/>
  <c r="T17" i="7" s="1"/>
  <c r="J23" i="7"/>
  <c r="J11" i="7"/>
  <c r="U16" i="7"/>
  <c r="T18" i="7"/>
  <c r="T19" i="7"/>
  <c r="P10" i="7"/>
  <c r="Q7" i="7"/>
  <c r="L33" i="5" l="1"/>
  <c r="G15" i="9" s="1"/>
  <c r="G21" i="10" s="1"/>
  <c r="M27" i="5"/>
  <c r="N17" i="5"/>
  <c r="N23" i="5" s="1"/>
  <c r="I14" i="9" s="1"/>
  <c r="I20" i="10" s="1"/>
  <c r="N27" i="5"/>
  <c r="J13" i="9"/>
  <c r="Q66" i="3"/>
  <c r="Q70" i="3" s="1"/>
  <c r="L8" i="9" s="1"/>
  <c r="L17" i="10" s="1"/>
  <c r="Q13" i="4"/>
  <c r="Q17" i="4" s="1"/>
  <c r="Q26" i="4" s="1"/>
  <c r="N51" i="5"/>
  <c r="I17" i="9" s="1"/>
  <c r="I23" i="10" s="1"/>
  <c r="G14" i="9"/>
  <c r="N29" i="5"/>
  <c r="N46" i="5"/>
  <c r="N41" i="5"/>
  <c r="I16" i="9" s="1"/>
  <c r="I22" i="10" s="1"/>
  <c r="K8" i="9"/>
  <c r="F21" i="10"/>
  <c r="F23" i="9"/>
  <c r="F25" i="9" s="1"/>
  <c r="H19" i="9"/>
  <c r="P36" i="4"/>
  <c r="P41" i="4" s="1"/>
  <c r="P43" i="4" s="1"/>
  <c r="P46" i="4" s="1"/>
  <c r="K13" i="9" s="1"/>
  <c r="K19" i="10" s="1"/>
  <c r="P53" i="4"/>
  <c r="C21" i="10"/>
  <c r="G16" i="9"/>
  <c r="M41" i="5"/>
  <c r="H16" i="9" s="1"/>
  <c r="H22" i="10" s="1"/>
  <c r="M29" i="5"/>
  <c r="M33" i="5" s="1"/>
  <c r="H15" i="9" s="1"/>
  <c r="H21" i="10" s="1"/>
  <c r="M46" i="5"/>
  <c r="M51" i="5" s="1"/>
  <c r="H17" i="9" s="1"/>
  <c r="H23" i="10" s="1"/>
  <c r="O6" i="5"/>
  <c r="O55" i="4"/>
  <c r="O8" i="5" s="1"/>
  <c r="O67" i="5" s="1"/>
  <c r="J19" i="9" s="1"/>
  <c r="J25" i="10" s="1"/>
  <c r="O54" i="4"/>
  <c r="O7" i="5" s="1"/>
  <c r="N56" i="4"/>
  <c r="N9" i="5" s="1"/>
  <c r="N28" i="5" s="1"/>
  <c r="L69" i="13"/>
  <c r="L5" i="10"/>
  <c r="I20" i="9"/>
  <c r="O45" i="5"/>
  <c r="O74" i="5"/>
  <c r="J20" i="9" s="1"/>
  <c r="J26" i="10" s="1"/>
  <c r="J9" i="10"/>
  <c r="J12" i="10" s="1"/>
  <c r="J10" i="9"/>
  <c r="J24" i="7"/>
  <c r="E21" i="9" s="1"/>
  <c r="J9" i="7"/>
  <c r="J12" i="7" s="1"/>
  <c r="P51" i="3"/>
  <c r="R37" i="3"/>
  <c r="Q42" i="3"/>
  <c r="Q50" i="3" s="1"/>
  <c r="Q51" i="3" s="1"/>
  <c r="T20" i="7"/>
  <c r="T21" i="7" s="1"/>
  <c r="U17" i="7" s="1"/>
  <c r="Q10" i="7"/>
  <c r="R7" i="7"/>
  <c r="V16" i="7"/>
  <c r="U18" i="7"/>
  <c r="U19" i="7"/>
  <c r="G22" i="10" l="1"/>
  <c r="G20" i="10"/>
  <c r="G23" i="9"/>
  <c r="G25" i="9" s="1"/>
  <c r="H25" i="10"/>
  <c r="O56" i="4"/>
  <c r="O9" i="5" s="1"/>
  <c r="O28" i="5" s="1"/>
  <c r="K17" i="10"/>
  <c r="O17" i="5"/>
  <c r="O23" i="5" s="1"/>
  <c r="O27" i="5"/>
  <c r="Q36" i="4"/>
  <c r="Q41" i="4" s="1"/>
  <c r="Q43" i="4" s="1"/>
  <c r="Q46" i="4" s="1"/>
  <c r="Q53" i="4"/>
  <c r="H23" i="9"/>
  <c r="H25" i="9" s="1"/>
  <c r="P6" i="5"/>
  <c r="P55" i="4"/>
  <c r="P8" i="5" s="1"/>
  <c r="P67" i="5" s="1"/>
  <c r="K19" i="9" s="1"/>
  <c r="K25" i="10" s="1"/>
  <c r="P54" i="4"/>
  <c r="P7" i="5" s="1"/>
  <c r="J19" i="10"/>
  <c r="O46" i="5"/>
  <c r="O51" i="5" s="1"/>
  <c r="J17" i="9" s="1"/>
  <c r="J23" i="10" s="1"/>
  <c r="O29" i="5"/>
  <c r="O41" i="5"/>
  <c r="R66" i="3"/>
  <c r="R70" i="3" s="1"/>
  <c r="R13" i="4"/>
  <c r="R17" i="4" s="1"/>
  <c r="R26" i="4" s="1"/>
  <c r="N33" i="5"/>
  <c r="M69" i="13"/>
  <c r="M5" i="10"/>
  <c r="L7" i="9"/>
  <c r="Q11" i="5"/>
  <c r="K7" i="9"/>
  <c r="P11" i="5"/>
  <c r="I26" i="10"/>
  <c r="E27" i="10"/>
  <c r="S37" i="3"/>
  <c r="R42" i="3"/>
  <c r="R50" i="3" s="1"/>
  <c r="R51" i="3" s="1"/>
  <c r="U20" i="7"/>
  <c r="U21" i="7" s="1"/>
  <c r="V17" i="7" s="1"/>
  <c r="W16" i="7"/>
  <c r="V18" i="7"/>
  <c r="V19" i="7"/>
  <c r="J25" i="7"/>
  <c r="E30" i="10" s="1"/>
  <c r="K8" i="7"/>
  <c r="R10" i="7"/>
  <c r="S7" i="7"/>
  <c r="S66" i="3" l="1"/>
  <c r="S70" i="3" s="1"/>
  <c r="B34" i="9" s="1"/>
  <c r="S13" i="4"/>
  <c r="S17" i="4" s="1"/>
  <c r="S26" i="4" s="1"/>
  <c r="I15" i="9"/>
  <c r="P41" i="5"/>
  <c r="K16" i="9" s="1"/>
  <c r="K22" i="10" s="1"/>
  <c r="P46" i="5"/>
  <c r="P29" i="5"/>
  <c r="P56" i="4"/>
  <c r="P9" i="5" s="1"/>
  <c r="P28" i="5" s="1"/>
  <c r="R36" i="4"/>
  <c r="R41" i="4" s="1"/>
  <c r="R43" i="4" s="1"/>
  <c r="R46" i="4" s="1"/>
  <c r="M13" i="9" s="1"/>
  <c r="M19" i="10" s="1"/>
  <c r="R53" i="4"/>
  <c r="P17" i="5"/>
  <c r="P23" i="5" s="1"/>
  <c r="K14" i="9" s="1"/>
  <c r="K20" i="10" s="1"/>
  <c r="P27" i="5"/>
  <c r="M8" i="9"/>
  <c r="B70" i="3"/>
  <c r="C11" i="12" s="1"/>
  <c r="Q6" i="5"/>
  <c r="Q55" i="4"/>
  <c r="Q8" i="5" s="1"/>
  <c r="Q67" i="5" s="1"/>
  <c r="L19" i="9" s="1"/>
  <c r="L25" i="10" s="1"/>
  <c r="Q54" i="4"/>
  <c r="Q7" i="5" s="1"/>
  <c r="Q56" i="4"/>
  <c r="Q9" i="5" s="1"/>
  <c r="Q28" i="5" s="1"/>
  <c r="J16" i="9"/>
  <c r="L13" i="9"/>
  <c r="O33" i="5"/>
  <c r="J15" i="9" s="1"/>
  <c r="J21" i="10" s="1"/>
  <c r="J14" i="9"/>
  <c r="N69" i="13"/>
  <c r="B41" i="10"/>
  <c r="P45" i="5"/>
  <c r="P74" i="5"/>
  <c r="K20" i="9" s="1"/>
  <c r="B51" i="3"/>
  <c r="C7" i="12" s="1"/>
  <c r="C10" i="12" s="1"/>
  <c r="M7" i="9"/>
  <c r="R11" i="5"/>
  <c r="Q45" i="5"/>
  <c r="Q74" i="5"/>
  <c r="L20" i="9" s="1"/>
  <c r="L26" i="10" s="1"/>
  <c r="L9" i="10"/>
  <c r="L12" i="10" s="1"/>
  <c r="L10" i="9"/>
  <c r="K9" i="10"/>
  <c r="K12" i="10" s="1"/>
  <c r="K10" i="9"/>
  <c r="E32" i="10"/>
  <c r="E33" i="10" s="1"/>
  <c r="B50" i="3"/>
  <c r="T37" i="3"/>
  <c r="S42" i="3"/>
  <c r="S50" i="3" s="1"/>
  <c r="S51" i="3" s="1"/>
  <c r="V20" i="7"/>
  <c r="V21" i="7" s="1"/>
  <c r="W17" i="7" s="1"/>
  <c r="S10" i="7"/>
  <c r="T7" i="7"/>
  <c r="X16" i="7"/>
  <c r="W18" i="7"/>
  <c r="W19" i="7"/>
  <c r="K23" i="7"/>
  <c r="K11" i="7"/>
  <c r="P33" i="5" l="1"/>
  <c r="K15" i="9" s="1"/>
  <c r="K21" i="10" s="1"/>
  <c r="Q17" i="5"/>
  <c r="Q23" i="5" s="1"/>
  <c r="Q27" i="5"/>
  <c r="Q29" i="5"/>
  <c r="Q33" i="5" s="1"/>
  <c r="Q46" i="5"/>
  <c r="Q51" i="5" s="1"/>
  <c r="L17" i="9" s="1"/>
  <c r="L23" i="10" s="1"/>
  <c r="Q41" i="5"/>
  <c r="L16" i="9" s="1"/>
  <c r="L22" i="10" s="1"/>
  <c r="T66" i="3"/>
  <c r="T70" i="3" s="1"/>
  <c r="C34" i="9" s="1"/>
  <c r="C53" i="10" s="1"/>
  <c r="T13" i="4"/>
  <c r="T17" i="4" s="1"/>
  <c r="T26" i="4" s="1"/>
  <c r="J20" i="10"/>
  <c r="J23" i="9"/>
  <c r="J25" i="9" s="1"/>
  <c r="B46" i="4"/>
  <c r="C16" i="12" s="1"/>
  <c r="P51" i="5"/>
  <c r="K17" i="9" s="1"/>
  <c r="L19" i="10"/>
  <c r="N19" i="10" s="1"/>
  <c r="N13" i="9"/>
  <c r="I21" i="10"/>
  <c r="I23" i="9"/>
  <c r="I25" i="9" s="1"/>
  <c r="S36" i="4"/>
  <c r="S41" i="4" s="1"/>
  <c r="S43" i="4" s="1"/>
  <c r="S46" i="4" s="1"/>
  <c r="S53" i="4"/>
  <c r="M17" i="10"/>
  <c r="N17" i="10" s="1"/>
  <c r="N8" i="9"/>
  <c r="J22" i="10"/>
  <c r="R6" i="5"/>
  <c r="R55" i="4"/>
  <c r="R8" i="5" s="1"/>
  <c r="R67" i="5" s="1"/>
  <c r="R54" i="4"/>
  <c r="R7" i="5" s="1"/>
  <c r="B53" i="10"/>
  <c r="O69" i="13"/>
  <c r="C41" i="10"/>
  <c r="C39" i="12"/>
  <c r="C13" i="12"/>
  <c r="C15" i="12" s="1"/>
  <c r="C33" i="12"/>
  <c r="C32" i="12"/>
  <c r="C34" i="12"/>
  <c r="R45" i="5"/>
  <c r="R74" i="5"/>
  <c r="M9" i="10"/>
  <c r="M10" i="9"/>
  <c r="N7" i="9"/>
  <c r="B33" i="9"/>
  <c r="S11" i="5"/>
  <c r="K26" i="10"/>
  <c r="K23" i="10"/>
  <c r="K23" i="9"/>
  <c r="K25" i="9" s="1"/>
  <c r="K24" i="7"/>
  <c r="K9" i="7"/>
  <c r="K12" i="7" s="1"/>
  <c r="F21" i="9"/>
  <c r="U37" i="3"/>
  <c r="T42" i="3"/>
  <c r="T50" i="3" s="1"/>
  <c r="T51" i="3" s="1"/>
  <c r="W20" i="7"/>
  <c r="W21" i="7" s="1"/>
  <c r="X17" i="7" s="1"/>
  <c r="Y16" i="7"/>
  <c r="X18" i="7"/>
  <c r="X19" i="7"/>
  <c r="T10" i="7"/>
  <c r="U7" i="7"/>
  <c r="L15" i="9" l="1"/>
  <c r="M19" i="9"/>
  <c r="B67" i="5"/>
  <c r="C22" i="12" s="1"/>
  <c r="C40" i="12" s="1"/>
  <c r="U66" i="3"/>
  <c r="U70" i="3" s="1"/>
  <c r="D34" i="9" s="1"/>
  <c r="D53" i="10" s="1"/>
  <c r="U13" i="4"/>
  <c r="U17" i="4" s="1"/>
  <c r="U26" i="4" s="1"/>
  <c r="T36" i="4"/>
  <c r="T41" i="4" s="1"/>
  <c r="T43" i="4" s="1"/>
  <c r="T46" i="4" s="1"/>
  <c r="C39" i="9" s="1"/>
  <c r="C55" i="10" s="1"/>
  <c r="T53" i="4"/>
  <c r="R46" i="5"/>
  <c r="R51" i="5" s="1"/>
  <c r="R29" i="5"/>
  <c r="R41" i="5"/>
  <c r="S6" i="5"/>
  <c r="S55" i="4"/>
  <c r="S8" i="5" s="1"/>
  <c r="S67" i="5" s="1"/>
  <c r="S54" i="4"/>
  <c r="S7" i="5" s="1"/>
  <c r="R17" i="5"/>
  <c r="R23" i="5" s="1"/>
  <c r="M14" i="9" s="1"/>
  <c r="M20" i="10" s="1"/>
  <c r="R27" i="5"/>
  <c r="N10" i="9"/>
  <c r="R56" i="4"/>
  <c r="R9" i="5" s="1"/>
  <c r="R28" i="5" s="1"/>
  <c r="B39" i="9"/>
  <c r="L14" i="9"/>
  <c r="D41" i="10"/>
  <c r="P69" i="13"/>
  <c r="S45" i="5"/>
  <c r="S74" i="5"/>
  <c r="B45" i="10"/>
  <c r="B36" i="9"/>
  <c r="C33" i="9"/>
  <c r="T11" i="5"/>
  <c r="M12" i="10"/>
  <c r="N12" i="10" s="1"/>
  <c r="N9" i="10"/>
  <c r="M20" i="9"/>
  <c r="B74" i="5"/>
  <c r="C23" i="12" s="1"/>
  <c r="C41" i="12" s="1"/>
  <c r="F27" i="10"/>
  <c r="V37" i="3"/>
  <c r="U42" i="3"/>
  <c r="U50" i="3" s="1"/>
  <c r="U51" i="3" s="1"/>
  <c r="X20" i="7"/>
  <c r="X21" i="7" s="1"/>
  <c r="Y17" i="7" s="1"/>
  <c r="K25" i="7"/>
  <c r="F30" i="10" s="1"/>
  <c r="L8" i="7"/>
  <c r="V7" i="7"/>
  <c r="U10" i="7"/>
  <c r="Z16" i="7"/>
  <c r="Y18" i="7"/>
  <c r="Y19" i="7"/>
  <c r="S56" i="4" l="1"/>
  <c r="S9" i="5" s="1"/>
  <c r="S28" i="5" s="1"/>
  <c r="B23" i="5"/>
  <c r="C17" i="12" s="1"/>
  <c r="C35" i="12" s="1"/>
  <c r="M17" i="9"/>
  <c r="B51" i="5"/>
  <c r="C20" i="12" s="1"/>
  <c r="C38" i="12" s="1"/>
  <c r="L20" i="10"/>
  <c r="N20" i="10" s="1"/>
  <c r="N14" i="9"/>
  <c r="L23" i="9"/>
  <c r="L25" i="9" s="1"/>
  <c r="T6" i="5"/>
  <c r="T55" i="4"/>
  <c r="T8" i="5" s="1"/>
  <c r="T67" i="5" s="1"/>
  <c r="C45" i="9" s="1"/>
  <c r="C61" i="10" s="1"/>
  <c r="T54" i="4"/>
  <c r="T7" i="5" s="1"/>
  <c r="B45" i="9"/>
  <c r="V66" i="3"/>
  <c r="V70" i="3" s="1"/>
  <c r="V13" i="4"/>
  <c r="V17" i="4" s="1"/>
  <c r="V26" i="4" s="1"/>
  <c r="S17" i="5"/>
  <c r="S23" i="5" s="1"/>
  <c r="S27" i="5"/>
  <c r="U36" i="4"/>
  <c r="U41" i="4" s="1"/>
  <c r="U43" i="4" s="1"/>
  <c r="U46" i="4" s="1"/>
  <c r="U53" i="4"/>
  <c r="B55" i="10"/>
  <c r="R33" i="5"/>
  <c r="M16" i="9"/>
  <c r="B41" i="5"/>
  <c r="C19" i="12" s="1"/>
  <c r="C37" i="12" s="1"/>
  <c r="S46" i="5"/>
  <c r="S51" i="5" s="1"/>
  <c r="B43" i="9" s="1"/>
  <c r="S29" i="5"/>
  <c r="S41" i="5"/>
  <c r="M25" i="10"/>
  <c r="N25" i="10" s="1"/>
  <c r="N19" i="9"/>
  <c r="L21" i="10"/>
  <c r="E41" i="10"/>
  <c r="Q69" i="13"/>
  <c r="T45" i="5"/>
  <c r="T74" i="5"/>
  <c r="C46" i="9" s="1"/>
  <c r="C62" i="10" s="1"/>
  <c r="C45" i="10"/>
  <c r="C48" i="10" s="1"/>
  <c r="C36" i="9"/>
  <c r="D33" i="9"/>
  <c r="U11" i="5"/>
  <c r="B48" i="10"/>
  <c r="B46" i="9"/>
  <c r="M23" i="10"/>
  <c r="N23" i="10" s="1"/>
  <c r="N17" i="9"/>
  <c r="M26" i="10"/>
  <c r="N26" i="10" s="1"/>
  <c r="N20" i="9"/>
  <c r="W37" i="3"/>
  <c r="V42" i="3"/>
  <c r="V50" i="3" s="1"/>
  <c r="Y20" i="7"/>
  <c r="Y21" i="7" s="1"/>
  <c r="Z17" i="7" s="1"/>
  <c r="AA16" i="7"/>
  <c r="Z18" i="7"/>
  <c r="Z19" i="7"/>
  <c r="L11" i="7"/>
  <c r="L23" i="7"/>
  <c r="V10" i="7"/>
  <c r="W7" i="7"/>
  <c r="T56" i="4" l="1"/>
  <c r="T9" i="5" s="1"/>
  <c r="T28" i="5" s="1"/>
  <c r="B61" i="10"/>
  <c r="T27" i="5"/>
  <c r="T17" i="5"/>
  <c r="T23" i="5" s="1"/>
  <c r="C40" i="9" s="1"/>
  <c r="C56" i="10" s="1"/>
  <c r="W66" i="3"/>
  <c r="W70" i="3" s="1"/>
  <c r="F34" i="9" s="1"/>
  <c r="F53" i="10" s="1"/>
  <c r="W13" i="4"/>
  <c r="W17" i="4" s="1"/>
  <c r="W26" i="4" s="1"/>
  <c r="U6" i="5"/>
  <c r="U54" i="4"/>
  <c r="U7" i="5" s="1"/>
  <c r="U55" i="4"/>
  <c r="U8" i="5" s="1"/>
  <c r="U67" i="5" s="1"/>
  <c r="D45" i="9" s="1"/>
  <c r="D61" i="10" s="1"/>
  <c r="B42" i="9"/>
  <c r="D39" i="9"/>
  <c r="T29" i="5"/>
  <c r="T46" i="5"/>
  <c r="T51" i="5" s="1"/>
  <c r="C43" i="9" s="1"/>
  <c r="C59" i="10" s="1"/>
  <c r="T41" i="5"/>
  <c r="C42" i="9" s="1"/>
  <c r="C58" i="10" s="1"/>
  <c r="S33" i="5"/>
  <c r="V36" i="4"/>
  <c r="V41" i="4" s="1"/>
  <c r="V43" i="4" s="1"/>
  <c r="V46" i="4" s="1"/>
  <c r="E39" i="9" s="1"/>
  <c r="E55" i="10" s="1"/>
  <c r="V53" i="4"/>
  <c r="B40" i="9"/>
  <c r="E34" i="9"/>
  <c r="M22" i="10"/>
  <c r="N22" i="10" s="1"/>
  <c r="N16" i="9"/>
  <c r="M15" i="9"/>
  <c r="B33" i="5"/>
  <c r="C18" i="12" s="1"/>
  <c r="F41" i="10"/>
  <c r="R69" i="13"/>
  <c r="B62" i="10"/>
  <c r="U74" i="5"/>
  <c r="U45" i="5"/>
  <c r="D45" i="10"/>
  <c r="D36" i="9"/>
  <c r="B59" i="10"/>
  <c r="L24" i="7"/>
  <c r="G21" i="9" s="1"/>
  <c r="G27" i="10" s="1"/>
  <c r="L9" i="7"/>
  <c r="L12" i="7" s="1"/>
  <c r="V51" i="3"/>
  <c r="X37" i="3"/>
  <c r="W42" i="3"/>
  <c r="W50" i="3" s="1"/>
  <c r="W51" i="3" s="1"/>
  <c r="Z20" i="7"/>
  <c r="Z21" i="7" s="1"/>
  <c r="AA17" i="7" s="1"/>
  <c r="AB16" i="7"/>
  <c r="AA18" i="7"/>
  <c r="AA19" i="7"/>
  <c r="W10" i="7"/>
  <c r="X7" i="7"/>
  <c r="M21" i="10" l="1"/>
  <c r="N21" i="10" s="1"/>
  <c r="N15" i="9"/>
  <c r="M23" i="9"/>
  <c r="M25" i="9" s="1"/>
  <c r="W36" i="4"/>
  <c r="W41" i="4" s="1"/>
  <c r="W43" i="4" s="1"/>
  <c r="W46" i="4" s="1"/>
  <c r="F39" i="9" s="1"/>
  <c r="F55" i="10" s="1"/>
  <c r="W53" i="4"/>
  <c r="U17" i="5"/>
  <c r="U23" i="5" s="1"/>
  <c r="U27" i="5"/>
  <c r="U29" i="5"/>
  <c r="U41" i="5"/>
  <c r="D42" i="9" s="1"/>
  <c r="D58" i="10" s="1"/>
  <c r="U46" i="5"/>
  <c r="U51" i="5" s="1"/>
  <c r="D43" i="9" s="1"/>
  <c r="C36" i="12"/>
  <c r="C24" i="12"/>
  <c r="B41" i="9"/>
  <c r="X66" i="3"/>
  <c r="X70" i="3" s="1"/>
  <c r="G34" i="9" s="1"/>
  <c r="G53" i="10" s="1"/>
  <c r="X13" i="4"/>
  <c r="X17" i="4" s="1"/>
  <c r="X26" i="4" s="1"/>
  <c r="E53" i="10"/>
  <c r="D55" i="10"/>
  <c r="B56" i="10"/>
  <c r="T33" i="5"/>
  <c r="C41" i="9" s="1"/>
  <c r="B58" i="10"/>
  <c r="V6" i="5"/>
  <c r="V55" i="4"/>
  <c r="V8" i="5" s="1"/>
  <c r="V67" i="5" s="1"/>
  <c r="E45" i="9" s="1"/>
  <c r="E61" i="10" s="1"/>
  <c r="V54" i="4"/>
  <c r="V7" i="5" s="1"/>
  <c r="U56" i="4"/>
  <c r="U9" i="5" s="1"/>
  <c r="U28" i="5" s="1"/>
  <c r="G41" i="10"/>
  <c r="S69" i="13"/>
  <c r="D48" i="10"/>
  <c r="F33" i="9"/>
  <c r="W11" i="5"/>
  <c r="E33" i="9"/>
  <c r="V11" i="5"/>
  <c r="D46" i="9"/>
  <c r="Y37" i="3"/>
  <c r="X42" i="3"/>
  <c r="X50" i="3" s="1"/>
  <c r="X51" i="3" s="1"/>
  <c r="AA20" i="7"/>
  <c r="AA21" i="7" s="1"/>
  <c r="AB17" i="7" s="1"/>
  <c r="L25" i="7"/>
  <c r="G30" i="10" s="1"/>
  <c r="M8" i="7"/>
  <c r="Y7" i="7"/>
  <c r="X10" i="7"/>
  <c r="AC16" i="7"/>
  <c r="AB18" i="7"/>
  <c r="AB19" i="7"/>
  <c r="X36" i="4" l="1"/>
  <c r="X41" i="4" s="1"/>
  <c r="X43" i="4" s="1"/>
  <c r="X46" i="4" s="1"/>
  <c r="X53" i="4"/>
  <c r="U33" i="5"/>
  <c r="D41" i="9" s="1"/>
  <c r="D57" i="10" s="1"/>
  <c r="D40" i="9"/>
  <c r="V56" i="4"/>
  <c r="V9" i="5" s="1"/>
  <c r="V28" i="5" s="1"/>
  <c r="B57" i="10"/>
  <c r="B49" i="9"/>
  <c r="B51" i="9" s="1"/>
  <c r="W6" i="5"/>
  <c r="W55" i="4"/>
  <c r="W8" i="5" s="1"/>
  <c r="W67" i="5" s="1"/>
  <c r="F45" i="9" s="1"/>
  <c r="W54" i="4"/>
  <c r="W7" i="5" s="1"/>
  <c r="Y66" i="3"/>
  <c r="Y70" i="3" s="1"/>
  <c r="H34" i="9" s="1"/>
  <c r="Y13" i="4"/>
  <c r="Y17" i="4" s="1"/>
  <c r="Y26" i="4" s="1"/>
  <c r="C57" i="10"/>
  <c r="C49" i="9"/>
  <c r="C51" i="9" s="1"/>
  <c r="V17" i="5"/>
  <c r="V23" i="5" s="1"/>
  <c r="E40" i="9" s="1"/>
  <c r="E56" i="10" s="1"/>
  <c r="V27" i="5"/>
  <c r="V41" i="5"/>
  <c r="E42" i="9" s="1"/>
  <c r="V46" i="5"/>
  <c r="V29" i="5"/>
  <c r="H41" i="10"/>
  <c r="T69" i="13"/>
  <c r="V45" i="5"/>
  <c r="V74" i="5"/>
  <c r="E45" i="10"/>
  <c r="E36" i="9"/>
  <c r="D59" i="10"/>
  <c r="G33" i="9"/>
  <c r="X11" i="5"/>
  <c r="D62" i="10"/>
  <c r="W45" i="5"/>
  <c r="W74" i="5"/>
  <c r="F46" i="9" s="1"/>
  <c r="F62" i="10" s="1"/>
  <c r="F45" i="10"/>
  <c r="F48" i="10" s="1"/>
  <c r="F36" i="9"/>
  <c r="Z37" i="3"/>
  <c r="Y42" i="3"/>
  <c r="Y50" i="3" s="1"/>
  <c r="AB20" i="7"/>
  <c r="AB21" i="7" s="1"/>
  <c r="AC17" i="7" s="1"/>
  <c r="AC18" i="7"/>
  <c r="AC19" i="7"/>
  <c r="AD16" i="7"/>
  <c r="M11" i="7"/>
  <c r="M23" i="7"/>
  <c r="Z7" i="7"/>
  <c r="Y10" i="7"/>
  <c r="V33" i="5" l="1"/>
  <c r="E41" i="9" s="1"/>
  <c r="E57" i="10" s="1"/>
  <c r="W56" i="4"/>
  <c r="W9" i="5" s="1"/>
  <c r="W28" i="5" s="1"/>
  <c r="Z66" i="3"/>
  <c r="Z70" i="3" s="1"/>
  <c r="I34" i="9" s="1"/>
  <c r="I53" i="10" s="1"/>
  <c r="Z13" i="4"/>
  <c r="Z17" i="4" s="1"/>
  <c r="Z26" i="4" s="1"/>
  <c r="D56" i="10"/>
  <c r="H53" i="10"/>
  <c r="E58" i="10"/>
  <c r="W17" i="5"/>
  <c r="W23" i="5" s="1"/>
  <c r="V51" i="5"/>
  <c r="E43" i="9" s="1"/>
  <c r="W46" i="5"/>
  <c r="W51" i="5" s="1"/>
  <c r="F43" i="9" s="1"/>
  <c r="F59" i="10" s="1"/>
  <c r="W29" i="5"/>
  <c r="W41" i="5"/>
  <c r="F42" i="9" s="1"/>
  <c r="F58" i="10" s="1"/>
  <c r="X6" i="5"/>
  <c r="X55" i="4"/>
  <c r="X8" i="5" s="1"/>
  <c r="X67" i="5" s="1"/>
  <c r="G45" i="9" s="1"/>
  <c r="G61" i="10" s="1"/>
  <c r="X54" i="4"/>
  <c r="X7" i="5" s="1"/>
  <c r="X17" i="5" s="1"/>
  <c r="X23" i="5" s="1"/>
  <c r="G40" i="9" s="1"/>
  <c r="G56" i="10" s="1"/>
  <c r="W27" i="5"/>
  <c r="G39" i="9"/>
  <c r="F61" i="10"/>
  <c r="D49" i="9"/>
  <c r="D51" i="9" s="1"/>
  <c r="Y36" i="4"/>
  <c r="Y41" i="4" s="1"/>
  <c r="Y43" i="4" s="1"/>
  <c r="Y46" i="4" s="1"/>
  <c r="H39" i="9" s="1"/>
  <c r="H55" i="10" s="1"/>
  <c r="Y53" i="4"/>
  <c r="I41" i="10"/>
  <c r="U69" i="13"/>
  <c r="X45" i="5"/>
  <c r="X74" i="5"/>
  <c r="G46" i="9" s="1"/>
  <c r="G62" i="10" s="1"/>
  <c r="G45" i="10"/>
  <c r="G48" i="10" s="1"/>
  <c r="G36" i="9"/>
  <c r="E48" i="10"/>
  <c r="E46" i="9"/>
  <c r="M24" i="7"/>
  <c r="H21" i="9" s="1"/>
  <c r="H27" i="10" s="1"/>
  <c r="M9" i="7"/>
  <c r="M12" i="7" s="1"/>
  <c r="M25" i="7" s="1"/>
  <c r="H30" i="10" s="1"/>
  <c r="Y51" i="3"/>
  <c r="AA37" i="3"/>
  <c r="Z42" i="3"/>
  <c r="Z50" i="3" s="1"/>
  <c r="Z51" i="3" s="1"/>
  <c r="AC20" i="7"/>
  <c r="AC21" i="7" s="1"/>
  <c r="AD17" i="7" s="1"/>
  <c r="AD18" i="7"/>
  <c r="AD19" i="7"/>
  <c r="AE16" i="7"/>
  <c r="AA7" i="7"/>
  <c r="Z10" i="7"/>
  <c r="H32" i="10" l="1"/>
  <c r="H33" i="10" s="1"/>
  <c r="W33" i="5"/>
  <c r="F41" i="9"/>
  <c r="X27" i="5"/>
  <c r="AA66" i="3"/>
  <c r="AA70" i="3" s="1"/>
  <c r="AA13" i="4"/>
  <c r="AA17" i="4" s="1"/>
  <c r="AA26" i="4" s="1"/>
  <c r="X29" i="5"/>
  <c r="X41" i="5"/>
  <c r="G42" i="9" s="1"/>
  <c r="X46" i="5"/>
  <c r="X51" i="5" s="1"/>
  <c r="G43" i="9" s="1"/>
  <c r="G59" i="10" s="1"/>
  <c r="Y6" i="5"/>
  <c r="Y55" i="4"/>
  <c r="Y8" i="5" s="1"/>
  <c r="Y67" i="5" s="1"/>
  <c r="H45" i="9" s="1"/>
  <c r="Y54" i="4"/>
  <c r="Y7" i="5" s="1"/>
  <c r="Y56" i="4"/>
  <c r="Y9" i="5" s="1"/>
  <c r="Z36" i="4"/>
  <c r="Z41" i="4" s="1"/>
  <c r="Z43" i="4" s="1"/>
  <c r="Z46" i="4" s="1"/>
  <c r="Z53" i="4"/>
  <c r="G55" i="10"/>
  <c r="X56" i="4"/>
  <c r="X9" i="5" s="1"/>
  <c r="X28" i="5" s="1"/>
  <c r="F40" i="9"/>
  <c r="J41" i="10"/>
  <c r="V69" i="13"/>
  <c r="I33" i="9"/>
  <c r="Z11" i="5"/>
  <c r="E59" i="10"/>
  <c r="E49" i="9"/>
  <c r="E51" i="9" s="1"/>
  <c r="E62" i="10"/>
  <c r="H33" i="9"/>
  <c r="Y11" i="5"/>
  <c r="N8" i="7"/>
  <c r="N23" i="7" s="1"/>
  <c r="AB37" i="3"/>
  <c r="AA42" i="3"/>
  <c r="AA50" i="3" s="1"/>
  <c r="AA51" i="3" s="1"/>
  <c r="AD20" i="7"/>
  <c r="AD21" i="7" s="1"/>
  <c r="AE17" i="7" s="1"/>
  <c r="AE19" i="7"/>
  <c r="AF16" i="7"/>
  <c r="AE18" i="7"/>
  <c r="AB7" i="7"/>
  <c r="AA10" i="7"/>
  <c r="Y28" i="5" l="1"/>
  <c r="Z6" i="5"/>
  <c r="Z55" i="4"/>
  <c r="Z8" i="5" s="1"/>
  <c r="Z67" i="5" s="1"/>
  <c r="I45" i="9" s="1"/>
  <c r="I61" i="10" s="1"/>
  <c r="Z54" i="4"/>
  <c r="Z7" i="5" s="1"/>
  <c r="Z56" i="4"/>
  <c r="Z9" i="5" s="1"/>
  <c r="Z28" i="5" s="1"/>
  <c r="G58" i="10"/>
  <c r="Y17" i="5"/>
  <c r="Y23" i="5" s="1"/>
  <c r="Y27" i="5"/>
  <c r="I39" i="9"/>
  <c r="AB66" i="3"/>
  <c r="AB70" i="3" s="1"/>
  <c r="K34" i="9" s="1"/>
  <c r="K53" i="10" s="1"/>
  <c r="AB13" i="4"/>
  <c r="AB17" i="4" s="1"/>
  <c r="AB26" i="4" s="1"/>
  <c r="AA36" i="4"/>
  <c r="AA41" i="4" s="1"/>
  <c r="AA43" i="4" s="1"/>
  <c r="AA46" i="4" s="1"/>
  <c r="J39" i="9" s="1"/>
  <c r="J55" i="10" s="1"/>
  <c r="AA53" i="4"/>
  <c r="F56" i="10"/>
  <c r="F49" i="9"/>
  <c r="F51" i="9" s="1"/>
  <c r="Y29" i="5"/>
  <c r="Y41" i="5"/>
  <c r="H42" i="9" s="1"/>
  <c r="H58" i="10" s="1"/>
  <c r="Y46" i="5"/>
  <c r="J34" i="9"/>
  <c r="J53" i="10" s="1"/>
  <c r="X33" i="5"/>
  <c r="H61" i="10"/>
  <c r="N11" i="7"/>
  <c r="F57" i="10"/>
  <c r="K41" i="10"/>
  <c r="W69" i="13"/>
  <c r="H45" i="10"/>
  <c r="H36" i="9"/>
  <c r="J33" i="9"/>
  <c r="AA11" i="5"/>
  <c r="Z45" i="5"/>
  <c r="Z74" i="5"/>
  <c r="I46" i="9" s="1"/>
  <c r="I62" i="10" s="1"/>
  <c r="Y45" i="5"/>
  <c r="Y74" i="5"/>
  <c r="I45" i="10"/>
  <c r="I48" i="10" s="1"/>
  <c r="I36" i="9"/>
  <c r="N24" i="7"/>
  <c r="I21" i="9" s="1"/>
  <c r="I27" i="10" s="1"/>
  <c r="N9" i="7"/>
  <c r="N12" i="7" s="1"/>
  <c r="AC37" i="3"/>
  <c r="AB42" i="3"/>
  <c r="AB50" i="3" s="1"/>
  <c r="AB51" i="3" s="1"/>
  <c r="AE20" i="7"/>
  <c r="AE21" i="7" s="1"/>
  <c r="AF17" i="7" s="1"/>
  <c r="AC7" i="7"/>
  <c r="AB10" i="7"/>
  <c r="AF18" i="7"/>
  <c r="AG16" i="7"/>
  <c r="AF19" i="7"/>
  <c r="Y51" i="5" l="1"/>
  <c r="Y33" i="5"/>
  <c r="H41" i="9" s="1"/>
  <c r="H57" i="10" s="1"/>
  <c r="I55" i="10"/>
  <c r="H40" i="9"/>
  <c r="AC66" i="3"/>
  <c r="AC70" i="3" s="1"/>
  <c r="AC13" i="4"/>
  <c r="AC17" i="4" s="1"/>
  <c r="AC26" i="4" s="1"/>
  <c r="G41" i="9"/>
  <c r="Z17" i="5"/>
  <c r="Z23" i="5" s="1"/>
  <c r="I40" i="9" s="1"/>
  <c r="I56" i="10" s="1"/>
  <c r="Z27" i="5"/>
  <c r="Z33" i="5" s="1"/>
  <c r="AA6" i="5"/>
  <c r="AA54" i="4"/>
  <c r="AA7" i="5" s="1"/>
  <c r="AA55" i="4"/>
  <c r="AA8" i="5" s="1"/>
  <c r="AA67" i="5" s="1"/>
  <c r="J45" i="9" s="1"/>
  <c r="AB36" i="4"/>
  <c r="AB41" i="4" s="1"/>
  <c r="AB43" i="4" s="1"/>
  <c r="AB46" i="4" s="1"/>
  <c r="K39" i="9" s="1"/>
  <c r="K55" i="10" s="1"/>
  <c r="AB53" i="4"/>
  <c r="Z41" i="5"/>
  <c r="I42" i="9" s="1"/>
  <c r="I58" i="10" s="1"/>
  <c r="Z29" i="5"/>
  <c r="Z46" i="5"/>
  <c r="Z51" i="5" s="1"/>
  <c r="I43" i="9" s="1"/>
  <c r="I59" i="10" s="1"/>
  <c r="L41" i="10"/>
  <c r="X69" i="13"/>
  <c r="AA45" i="5"/>
  <c r="AA74" i="5"/>
  <c r="J46" i="9" s="1"/>
  <c r="J62" i="10" s="1"/>
  <c r="J45" i="10"/>
  <c r="J48" i="10" s="1"/>
  <c r="J36" i="9"/>
  <c r="K33" i="9"/>
  <c r="AB11" i="5"/>
  <c r="H48" i="10"/>
  <c r="H46" i="9"/>
  <c r="H43" i="9"/>
  <c r="AD37" i="3"/>
  <c r="AC42" i="3"/>
  <c r="AC50" i="3" s="1"/>
  <c r="AC51" i="3" s="1"/>
  <c r="AF20" i="7"/>
  <c r="AF21" i="7" s="1"/>
  <c r="AG17" i="7" s="1"/>
  <c r="AG19" i="7"/>
  <c r="AH16" i="7"/>
  <c r="AG18" i="7"/>
  <c r="N25" i="7"/>
  <c r="I30" i="10" s="1"/>
  <c r="O8" i="7"/>
  <c r="AD7" i="7"/>
  <c r="AC10" i="7"/>
  <c r="I41" i="9" l="1"/>
  <c r="AA17" i="5"/>
  <c r="AA23" i="5" s="1"/>
  <c r="J40" i="9" s="1"/>
  <c r="J56" i="10" s="1"/>
  <c r="AA27" i="5"/>
  <c r="AD66" i="3"/>
  <c r="AD70" i="3" s="1"/>
  <c r="M34" i="9" s="1"/>
  <c r="AD13" i="4"/>
  <c r="AD17" i="4" s="1"/>
  <c r="AD26" i="4" s="1"/>
  <c r="L34" i="9"/>
  <c r="L53" i="10" s="1"/>
  <c r="C70" i="3"/>
  <c r="D11" i="12" s="1"/>
  <c r="J61" i="10"/>
  <c r="G57" i="10"/>
  <c r="G49" i="9"/>
  <c r="G51" i="9" s="1"/>
  <c r="AB6" i="5"/>
  <c r="AB54" i="4"/>
  <c r="AB7" i="5" s="1"/>
  <c r="AB55" i="4"/>
  <c r="AB8" i="5" s="1"/>
  <c r="AB67" i="5" s="1"/>
  <c r="K45" i="9" s="1"/>
  <c r="K61" i="10" s="1"/>
  <c r="AC36" i="4"/>
  <c r="AC41" i="4" s="1"/>
  <c r="AC43" i="4" s="1"/>
  <c r="AC46" i="4" s="1"/>
  <c r="L39" i="9" s="1"/>
  <c r="L55" i="10" s="1"/>
  <c r="AC53" i="4"/>
  <c r="AA41" i="5"/>
  <c r="J42" i="9" s="1"/>
  <c r="J58" i="10" s="1"/>
  <c r="AA46" i="5"/>
  <c r="AA29" i="5"/>
  <c r="H56" i="10"/>
  <c r="AA51" i="5"/>
  <c r="J43" i="9" s="1"/>
  <c r="J59" i="10" s="1"/>
  <c r="AA56" i="4"/>
  <c r="AA9" i="5" s="1"/>
  <c r="AA28" i="5" s="1"/>
  <c r="M41" i="10"/>
  <c r="Y69" i="13"/>
  <c r="AB45" i="5"/>
  <c r="AB74" i="5"/>
  <c r="K46" i="9" s="1"/>
  <c r="K62" i="10" s="1"/>
  <c r="K45" i="10"/>
  <c r="K48" i="10" s="1"/>
  <c r="K36" i="9"/>
  <c r="L33" i="9"/>
  <c r="AC11" i="5"/>
  <c r="H59" i="10"/>
  <c r="H49" i="9"/>
  <c r="H51" i="9" s="1"/>
  <c r="H62" i="10"/>
  <c r="AE37" i="3"/>
  <c r="AD42" i="3"/>
  <c r="AD50" i="3" s="1"/>
  <c r="AG20" i="7"/>
  <c r="AG21" i="7"/>
  <c r="AH17" i="7" s="1"/>
  <c r="AD10" i="7"/>
  <c r="AE7" i="7"/>
  <c r="AI16" i="7"/>
  <c r="AH19" i="7"/>
  <c r="AH18" i="7"/>
  <c r="O11" i="7"/>
  <c r="O23" i="7"/>
  <c r="AB56" i="4" l="1"/>
  <c r="AB9" i="5" s="1"/>
  <c r="AB28" i="5" s="1"/>
  <c r="AB17" i="5"/>
  <c r="AB23" i="5" s="1"/>
  <c r="K40" i="9" s="1"/>
  <c r="K56" i="10" s="1"/>
  <c r="AB27" i="5"/>
  <c r="AB29" i="5"/>
  <c r="AB46" i="5"/>
  <c r="AB51" i="5" s="1"/>
  <c r="K43" i="9" s="1"/>
  <c r="K59" i="10" s="1"/>
  <c r="AB41" i="5"/>
  <c r="K42" i="9" s="1"/>
  <c r="K58" i="10" s="1"/>
  <c r="M53" i="10"/>
  <c r="N53" i="10" s="1"/>
  <c r="N34" i="9"/>
  <c r="AE66" i="3"/>
  <c r="AE70" i="3" s="1"/>
  <c r="B60" i="9" s="1"/>
  <c r="AE13" i="4"/>
  <c r="AE17" i="4" s="1"/>
  <c r="AE26" i="4" s="1"/>
  <c r="AD36" i="4"/>
  <c r="AD41" i="4" s="1"/>
  <c r="AD43" i="4" s="1"/>
  <c r="AD46" i="4" s="1"/>
  <c r="AD53" i="4"/>
  <c r="AA33" i="5"/>
  <c r="J41" i="9" s="1"/>
  <c r="AC6" i="5"/>
  <c r="AC54" i="4"/>
  <c r="AC7" i="5" s="1"/>
  <c r="AC55" i="4"/>
  <c r="AC8" i="5" s="1"/>
  <c r="AC67" i="5" s="1"/>
  <c r="L45" i="9" s="1"/>
  <c r="L61" i="10" s="1"/>
  <c r="AC56" i="4"/>
  <c r="AC9" i="5" s="1"/>
  <c r="AC28" i="5" s="1"/>
  <c r="I57" i="10"/>
  <c r="I49" i="9"/>
  <c r="I51" i="9" s="1"/>
  <c r="Z69" i="13"/>
  <c r="B77" i="10"/>
  <c r="AC45" i="5"/>
  <c r="AC74" i="5"/>
  <c r="L46" i="9" s="1"/>
  <c r="L45" i="10"/>
  <c r="L48" i="10" s="1"/>
  <c r="L36" i="9"/>
  <c r="O24" i="7"/>
  <c r="J21" i="9" s="1"/>
  <c r="J27" i="10" s="1"/>
  <c r="O9" i="7"/>
  <c r="O12" i="7" s="1"/>
  <c r="O25" i="7" s="1"/>
  <c r="J30" i="10" s="1"/>
  <c r="AD51" i="3"/>
  <c r="C50" i="3"/>
  <c r="AF37" i="3"/>
  <c r="AE42" i="3"/>
  <c r="AE50" i="3" s="1"/>
  <c r="AE51" i="3" s="1"/>
  <c r="AH20" i="7"/>
  <c r="AH21" i="7" s="1"/>
  <c r="AI17" i="7" s="1"/>
  <c r="AJ16" i="7"/>
  <c r="AI18" i="7"/>
  <c r="AI19" i="7"/>
  <c r="AE10" i="7"/>
  <c r="AF7" i="7"/>
  <c r="AC41" i="5" l="1"/>
  <c r="L42" i="9" s="1"/>
  <c r="L58" i="10" s="1"/>
  <c r="AC46" i="5"/>
  <c r="AC29" i="5"/>
  <c r="AF66" i="3"/>
  <c r="AF70" i="3" s="1"/>
  <c r="C60" i="9" s="1"/>
  <c r="C89" i="10" s="1"/>
  <c r="AF13" i="4"/>
  <c r="AF17" i="4" s="1"/>
  <c r="AF26" i="4" s="1"/>
  <c r="B89" i="10"/>
  <c r="AC17" i="5"/>
  <c r="AC23" i="5" s="1"/>
  <c r="L40" i="9" s="1"/>
  <c r="L56" i="10" s="1"/>
  <c r="AC27" i="5"/>
  <c r="AC33" i="5" s="1"/>
  <c r="L41" i="9" s="1"/>
  <c r="L57" i="10" s="1"/>
  <c r="J57" i="10"/>
  <c r="J49" i="9"/>
  <c r="J51" i="9" s="1"/>
  <c r="AD6" i="5"/>
  <c r="AD54" i="4"/>
  <c r="AD7" i="5" s="1"/>
  <c r="AD55" i="4"/>
  <c r="AD8" i="5" s="1"/>
  <c r="AD67" i="5" s="1"/>
  <c r="M39" i="9"/>
  <c r="C46" i="4"/>
  <c r="D16" i="12" s="1"/>
  <c r="AC51" i="5"/>
  <c r="L43" i="9" s="1"/>
  <c r="L59" i="10" s="1"/>
  <c r="AB33" i="5"/>
  <c r="K41" i="9" s="1"/>
  <c r="AE36" i="4"/>
  <c r="AE41" i="4" s="1"/>
  <c r="AE43" i="4" s="1"/>
  <c r="AE46" i="4" s="1"/>
  <c r="AE53" i="4"/>
  <c r="AA69" i="13"/>
  <c r="C77" i="10"/>
  <c r="B59" i="9"/>
  <c r="AE11" i="5"/>
  <c r="L62" i="10"/>
  <c r="C51" i="3"/>
  <c r="D7" i="12" s="1"/>
  <c r="D10" i="12" s="1"/>
  <c r="M33" i="9"/>
  <c r="AD11" i="5"/>
  <c r="P8" i="7"/>
  <c r="AG37" i="3"/>
  <c r="AF42" i="3"/>
  <c r="AF50" i="3" s="1"/>
  <c r="AF51" i="3" s="1"/>
  <c r="AI20" i="7"/>
  <c r="AI21" i="7" s="1"/>
  <c r="AJ17" i="7" s="1"/>
  <c r="AF10" i="7"/>
  <c r="AG7" i="7"/>
  <c r="AK16" i="7"/>
  <c r="AJ18" i="7"/>
  <c r="AJ19" i="7"/>
  <c r="K57" i="10" l="1"/>
  <c r="K49" i="9"/>
  <c r="K51" i="9" s="1"/>
  <c r="L49" i="9"/>
  <c r="L51" i="9" s="1"/>
  <c r="M55" i="10"/>
  <c r="N55" i="10" s="1"/>
  <c r="N39" i="9"/>
  <c r="AD56" i="4"/>
  <c r="AD9" i="5" s="1"/>
  <c r="AD28" i="5" s="1"/>
  <c r="M45" i="9"/>
  <c r="C67" i="5"/>
  <c r="D22" i="12" s="1"/>
  <c r="D40" i="12" s="1"/>
  <c r="AF36" i="4"/>
  <c r="AF41" i="4" s="1"/>
  <c r="AF43" i="4" s="1"/>
  <c r="AF46" i="4" s="1"/>
  <c r="C65" i="9" s="1"/>
  <c r="C91" i="10" s="1"/>
  <c r="AF53" i="4"/>
  <c r="AG66" i="3"/>
  <c r="AG70" i="3" s="1"/>
  <c r="D60" i="9" s="1"/>
  <c r="AG13" i="4"/>
  <c r="AG17" i="4" s="1"/>
  <c r="AG26" i="4" s="1"/>
  <c r="AD29" i="5"/>
  <c r="AD46" i="5"/>
  <c r="AD41" i="5"/>
  <c r="AE6" i="5"/>
  <c r="AE55" i="4"/>
  <c r="AE8" i="5" s="1"/>
  <c r="AE67" i="5" s="1"/>
  <c r="AE54" i="4"/>
  <c r="AE7" i="5" s="1"/>
  <c r="AE56" i="4"/>
  <c r="AE9" i="5" s="1"/>
  <c r="AE28" i="5" s="1"/>
  <c r="AD17" i="5"/>
  <c r="AD23" i="5" s="1"/>
  <c r="AD27" i="5"/>
  <c r="B65" i="9"/>
  <c r="D77" i="10"/>
  <c r="AB69" i="13"/>
  <c r="M45" i="10"/>
  <c r="M36" i="9"/>
  <c r="N33" i="9"/>
  <c r="N36" i="9" s="1"/>
  <c r="C59" i="9"/>
  <c r="AF11" i="5"/>
  <c r="D39" i="12"/>
  <c r="D13" i="12"/>
  <c r="D15" i="12" s="1"/>
  <c r="D33" i="12"/>
  <c r="D32" i="12"/>
  <c r="D34" i="12"/>
  <c r="AE45" i="5"/>
  <c r="AE74" i="5"/>
  <c r="AD45" i="5"/>
  <c r="AD74" i="5"/>
  <c r="B81" i="10"/>
  <c r="B62" i="9"/>
  <c r="P23" i="7"/>
  <c r="P11" i="7"/>
  <c r="P9" i="7" s="1"/>
  <c r="AH37" i="3"/>
  <c r="AG42" i="3"/>
  <c r="AG50" i="3" s="1"/>
  <c r="AG51" i="3" s="1"/>
  <c r="AJ20" i="7"/>
  <c r="AJ21" i="7" s="1"/>
  <c r="AK17" i="7" s="1"/>
  <c r="AL16" i="7"/>
  <c r="AK18" i="7"/>
  <c r="AK19" i="7"/>
  <c r="AG10" i="7"/>
  <c r="AH7" i="7"/>
  <c r="AE17" i="5" l="1"/>
  <c r="AE23" i="5" s="1"/>
  <c r="AE27" i="5"/>
  <c r="B71" i="9"/>
  <c r="AH66" i="3"/>
  <c r="AH70" i="3" s="1"/>
  <c r="E60" i="9" s="1"/>
  <c r="E89" i="10" s="1"/>
  <c r="AH13" i="4"/>
  <c r="AH17" i="4" s="1"/>
  <c r="AH26" i="4" s="1"/>
  <c r="AE29" i="5"/>
  <c r="AE46" i="5"/>
  <c r="AE51" i="5" s="1"/>
  <c r="B69" i="9" s="1"/>
  <c r="AE41" i="5"/>
  <c r="M42" i="9"/>
  <c r="C41" i="5"/>
  <c r="D19" i="12" s="1"/>
  <c r="D37" i="12" s="1"/>
  <c r="AD51" i="5"/>
  <c r="B91" i="10"/>
  <c r="AG36" i="4"/>
  <c r="AG41" i="4" s="1"/>
  <c r="AG43" i="4" s="1"/>
  <c r="AG46" i="4" s="1"/>
  <c r="D65" i="9" s="1"/>
  <c r="D91" i="10" s="1"/>
  <c r="AG53" i="4"/>
  <c r="D89" i="10"/>
  <c r="M61" i="10"/>
  <c r="N61" i="10" s="1"/>
  <c r="N45" i="9"/>
  <c r="AD33" i="5"/>
  <c r="M40" i="9"/>
  <c r="C23" i="5"/>
  <c r="D17" i="12" s="1"/>
  <c r="D35" i="12" s="1"/>
  <c r="AF6" i="5"/>
  <c r="AF55" i="4"/>
  <c r="AF8" i="5" s="1"/>
  <c r="AF67" i="5" s="1"/>
  <c r="C71" i="9" s="1"/>
  <c r="C97" i="10" s="1"/>
  <c r="AF54" i="4"/>
  <c r="AF7" i="5" s="1"/>
  <c r="E77" i="10"/>
  <c r="AC69" i="13"/>
  <c r="M46" i="9"/>
  <c r="C74" i="5"/>
  <c r="D23" i="12" s="1"/>
  <c r="D41" i="12" s="1"/>
  <c r="D59" i="9"/>
  <c r="AG11" i="5"/>
  <c r="M48" i="10"/>
  <c r="N48" i="10" s="1"/>
  <c r="N45" i="10"/>
  <c r="B84" i="10"/>
  <c r="M43" i="9"/>
  <c r="C51" i="5"/>
  <c r="D20" i="12" s="1"/>
  <c r="D38" i="12" s="1"/>
  <c r="AF45" i="5"/>
  <c r="AF74" i="5"/>
  <c r="C72" i="9" s="1"/>
  <c r="C98" i="10" s="1"/>
  <c r="B72" i="9"/>
  <c r="C81" i="10"/>
  <c r="C84" i="10" s="1"/>
  <c r="C62" i="9"/>
  <c r="P24" i="7"/>
  <c r="K21" i="9" s="1"/>
  <c r="K27" i="10" s="1"/>
  <c r="P12" i="7"/>
  <c r="AI37" i="3"/>
  <c r="AH42" i="3"/>
  <c r="AH50" i="3" s="1"/>
  <c r="AH51" i="3" s="1"/>
  <c r="AK20" i="7"/>
  <c r="AK21" i="7" s="1"/>
  <c r="AL17" i="7" s="1"/>
  <c r="AH10" i="7"/>
  <c r="AI7" i="7"/>
  <c r="AM16" i="7"/>
  <c r="AL18" i="7"/>
  <c r="AL19" i="7"/>
  <c r="AF56" i="4" l="1"/>
  <c r="AF9" i="5" s="1"/>
  <c r="AF28" i="5" s="1"/>
  <c r="M58" i="10"/>
  <c r="N58" i="10" s="1"/>
  <c r="N42" i="9"/>
  <c r="B68" i="9"/>
  <c r="AF17" i="5"/>
  <c r="AF23" i="5" s="1"/>
  <c r="C66" i="9" s="1"/>
  <c r="C92" i="10" s="1"/>
  <c r="AF27" i="5"/>
  <c r="AG6" i="5"/>
  <c r="AG55" i="4"/>
  <c r="AG8" i="5" s="1"/>
  <c r="AG67" i="5" s="1"/>
  <c r="D71" i="9" s="1"/>
  <c r="D97" i="10" s="1"/>
  <c r="AG54" i="4"/>
  <c r="AG7" i="5" s="1"/>
  <c r="AI66" i="3"/>
  <c r="AI70" i="3" s="1"/>
  <c r="F60" i="9" s="1"/>
  <c r="AI13" i="4"/>
  <c r="AI17" i="4" s="1"/>
  <c r="AI26" i="4" s="1"/>
  <c r="AF41" i="5"/>
  <c r="C68" i="9" s="1"/>
  <c r="C94" i="10" s="1"/>
  <c r="AF46" i="5"/>
  <c r="AF51" i="5" s="1"/>
  <c r="C69" i="9" s="1"/>
  <c r="C95" i="10" s="1"/>
  <c r="AF29" i="5"/>
  <c r="M56" i="10"/>
  <c r="N56" i="10" s="1"/>
  <c r="N40" i="9"/>
  <c r="B97" i="10"/>
  <c r="AH36" i="4"/>
  <c r="AH41" i="4" s="1"/>
  <c r="AH43" i="4" s="1"/>
  <c r="AH46" i="4" s="1"/>
  <c r="E65" i="9" s="1"/>
  <c r="E91" i="10" s="1"/>
  <c r="AH53" i="4"/>
  <c r="M41" i="9"/>
  <c r="C33" i="5"/>
  <c r="D18" i="12" s="1"/>
  <c r="D36" i="12" s="1"/>
  <c r="AE33" i="5"/>
  <c r="B66" i="9"/>
  <c r="F77" i="10"/>
  <c r="AD69" i="13"/>
  <c r="D81" i="10"/>
  <c r="D84" i="10" s="1"/>
  <c r="D62" i="9"/>
  <c r="B98" i="10"/>
  <c r="M59" i="10"/>
  <c r="N59" i="10" s="1"/>
  <c r="N43" i="9"/>
  <c r="E59" i="9"/>
  <c r="AH11" i="5"/>
  <c r="AG45" i="5"/>
  <c r="AG74" i="5"/>
  <c r="B95" i="10"/>
  <c r="M62" i="10"/>
  <c r="N62" i="10" s="1"/>
  <c r="N46" i="9"/>
  <c r="P25" i="7"/>
  <c r="K30" i="10" s="1"/>
  <c r="K32" i="10" s="1"/>
  <c r="K33" i="10" s="1"/>
  <c r="Q8" i="7"/>
  <c r="AJ37" i="3"/>
  <c r="AI42" i="3"/>
  <c r="AI50" i="3" s="1"/>
  <c r="AI51" i="3" s="1"/>
  <c r="AL20" i="7"/>
  <c r="AL21" i="7" s="1"/>
  <c r="AM17" i="7" s="1"/>
  <c r="AI10" i="7"/>
  <c r="AJ7" i="7"/>
  <c r="AN16" i="7"/>
  <c r="AM18" i="7"/>
  <c r="AM19" i="7"/>
  <c r="D24" i="12" l="1"/>
  <c r="AG17" i="5"/>
  <c r="AG23" i="5" s="1"/>
  <c r="D66" i="9" s="1"/>
  <c r="D92" i="10" s="1"/>
  <c r="AG27" i="5"/>
  <c r="AG29" i="5"/>
  <c r="AG46" i="5"/>
  <c r="AG41" i="5"/>
  <c r="D68" i="9" s="1"/>
  <c r="D94" i="10" s="1"/>
  <c r="M57" i="10"/>
  <c r="N57" i="10" s="1"/>
  <c r="N41" i="9"/>
  <c r="AG51" i="5"/>
  <c r="D69" i="9" s="1"/>
  <c r="AF33" i="5"/>
  <c r="C67" i="9" s="1"/>
  <c r="AH6" i="5"/>
  <c r="AH55" i="4"/>
  <c r="AH8" i="5" s="1"/>
  <c r="AH67" i="5" s="1"/>
  <c r="E71" i="9" s="1"/>
  <c r="E97" i="10" s="1"/>
  <c r="AH54" i="4"/>
  <c r="AH7" i="5" s="1"/>
  <c r="AH56" i="4"/>
  <c r="AH9" i="5" s="1"/>
  <c r="B67" i="9"/>
  <c r="AJ66" i="3"/>
  <c r="AJ70" i="3" s="1"/>
  <c r="G60" i="9" s="1"/>
  <c r="G89" i="10" s="1"/>
  <c r="AJ13" i="4"/>
  <c r="AJ17" i="4" s="1"/>
  <c r="AJ26" i="4" s="1"/>
  <c r="AI36" i="4"/>
  <c r="AI41" i="4" s="1"/>
  <c r="AI43" i="4" s="1"/>
  <c r="AI46" i="4" s="1"/>
  <c r="AI53" i="4"/>
  <c r="B94" i="10"/>
  <c r="F89" i="10"/>
  <c r="M49" i="9"/>
  <c r="M51" i="9" s="1"/>
  <c r="B92" i="10"/>
  <c r="AG56" i="4"/>
  <c r="AG9" i="5" s="1"/>
  <c r="AG28" i="5" s="1"/>
  <c r="G77" i="10"/>
  <c r="AE69" i="13"/>
  <c r="D72" i="9"/>
  <c r="F59" i="9"/>
  <c r="AI11" i="5"/>
  <c r="AH45" i="5"/>
  <c r="AH74" i="5"/>
  <c r="E72" i="9" s="1"/>
  <c r="E98" i="10" s="1"/>
  <c r="E81" i="10"/>
  <c r="E62" i="9"/>
  <c r="Q11" i="7"/>
  <c r="Q23" i="7"/>
  <c r="AK37" i="3"/>
  <c r="AJ42" i="3"/>
  <c r="AJ50" i="3" s="1"/>
  <c r="AM20" i="7"/>
  <c r="AM21" i="7" s="1"/>
  <c r="AN17" i="7" s="1"/>
  <c r="AO16" i="7"/>
  <c r="AN18" i="7"/>
  <c r="AN19" i="7"/>
  <c r="AJ10" i="7"/>
  <c r="AK7" i="7"/>
  <c r="AI6" i="5" l="1"/>
  <c r="AI55" i="4"/>
  <c r="AI8" i="5" s="1"/>
  <c r="AI67" i="5" s="1"/>
  <c r="AI54" i="4"/>
  <c r="AI7" i="5" s="1"/>
  <c r="AI17" i="5" s="1"/>
  <c r="AI23" i="5" s="1"/>
  <c r="F66" i="9" s="1"/>
  <c r="F92" i="10" s="1"/>
  <c r="AH41" i="5"/>
  <c r="AH46" i="5"/>
  <c r="AH51" i="5" s="1"/>
  <c r="E69" i="9" s="1"/>
  <c r="E95" i="10" s="1"/>
  <c r="AH29" i="5"/>
  <c r="AJ36" i="4"/>
  <c r="AJ41" i="4" s="1"/>
  <c r="AJ43" i="4" s="1"/>
  <c r="AJ46" i="4" s="1"/>
  <c r="G65" i="9" s="1"/>
  <c r="G91" i="10" s="1"/>
  <c r="AJ53" i="4"/>
  <c r="AK66" i="3"/>
  <c r="AK70" i="3" s="1"/>
  <c r="H60" i="9" s="1"/>
  <c r="H89" i="10" s="1"/>
  <c r="AK13" i="4"/>
  <c r="AK17" i="4" s="1"/>
  <c r="AK26" i="4" s="1"/>
  <c r="C93" i="10"/>
  <c r="C75" i="9"/>
  <c r="C77" i="9" s="1"/>
  <c r="F65" i="9"/>
  <c r="B93" i="10"/>
  <c r="B75" i="9"/>
  <c r="B77" i="9" s="1"/>
  <c r="AH28" i="5"/>
  <c r="AH27" i="5"/>
  <c r="AH17" i="5"/>
  <c r="AH23" i="5" s="1"/>
  <c r="AG33" i="5"/>
  <c r="H77" i="10"/>
  <c r="AF69" i="13"/>
  <c r="AI45" i="5"/>
  <c r="AI74" i="5"/>
  <c r="F72" i="9" s="1"/>
  <c r="F98" i="10" s="1"/>
  <c r="F81" i="10"/>
  <c r="F84" i="10" s="1"/>
  <c r="F62" i="9"/>
  <c r="D95" i="10"/>
  <c r="D98" i="10"/>
  <c r="E84" i="10"/>
  <c r="Q24" i="7"/>
  <c r="L21" i="9" s="1"/>
  <c r="L27" i="10" s="1"/>
  <c r="Q9" i="7"/>
  <c r="Q12" i="7" s="1"/>
  <c r="AJ51" i="3"/>
  <c r="AL37" i="3"/>
  <c r="AK42" i="3"/>
  <c r="AK50" i="3" s="1"/>
  <c r="AK51" i="3" s="1"/>
  <c r="AN20" i="7"/>
  <c r="AN21" i="7" s="1"/>
  <c r="AO17" i="7" s="1"/>
  <c r="AL7" i="7"/>
  <c r="AK10" i="7"/>
  <c r="AP16" i="7"/>
  <c r="AO18" i="7"/>
  <c r="AO19" i="7"/>
  <c r="AI56" i="4" l="1"/>
  <c r="AI9" i="5" s="1"/>
  <c r="AI28" i="5" s="1"/>
  <c r="AJ6" i="5"/>
  <c r="AJ55" i="4"/>
  <c r="AJ8" i="5" s="1"/>
  <c r="AJ67" i="5" s="1"/>
  <c r="G71" i="9" s="1"/>
  <c r="G97" i="10" s="1"/>
  <c r="AJ54" i="4"/>
  <c r="AJ7" i="5" s="1"/>
  <c r="AJ56" i="4"/>
  <c r="AJ9" i="5" s="1"/>
  <c r="F91" i="10"/>
  <c r="D67" i="9"/>
  <c r="AL66" i="3"/>
  <c r="AL70" i="3" s="1"/>
  <c r="AL13" i="4"/>
  <c r="AL17" i="4" s="1"/>
  <c r="AL26" i="4" s="1"/>
  <c r="E66" i="9"/>
  <c r="E68" i="9"/>
  <c r="AH33" i="5"/>
  <c r="E67" i="9" s="1"/>
  <c r="E93" i="10" s="1"/>
  <c r="AI27" i="5"/>
  <c r="F71" i="9"/>
  <c r="AK36" i="4"/>
  <c r="AK41" i="4" s="1"/>
  <c r="AK43" i="4" s="1"/>
  <c r="AK46" i="4" s="1"/>
  <c r="AK53" i="4"/>
  <c r="AI46" i="5"/>
  <c r="AI51" i="5" s="1"/>
  <c r="F69" i="9" s="1"/>
  <c r="F95" i="10" s="1"/>
  <c r="AI29" i="5"/>
  <c r="AI41" i="5"/>
  <c r="F68" i="9" s="1"/>
  <c r="F94" i="10" s="1"/>
  <c r="I77" i="10"/>
  <c r="AG69" i="13"/>
  <c r="H59" i="9"/>
  <c r="AK11" i="5"/>
  <c r="G59" i="9"/>
  <c r="AJ11" i="5"/>
  <c r="Q25" i="7"/>
  <c r="L30" i="10" s="1"/>
  <c r="R8" i="7"/>
  <c r="AM37" i="3"/>
  <c r="AL42" i="3"/>
  <c r="AL50" i="3" s="1"/>
  <c r="AL51" i="3" s="1"/>
  <c r="AO20" i="7"/>
  <c r="AO21" i="7" s="1"/>
  <c r="AP17" i="7" s="1"/>
  <c r="AM7" i="7"/>
  <c r="AL10" i="7"/>
  <c r="AP18" i="7"/>
  <c r="AP19" i="7"/>
  <c r="AJ28" i="5" l="1"/>
  <c r="AI33" i="5"/>
  <c r="F67" i="9" s="1"/>
  <c r="F97" i="10"/>
  <c r="AM66" i="3"/>
  <c r="AM70" i="3" s="1"/>
  <c r="J60" i="9" s="1"/>
  <c r="J89" i="10" s="1"/>
  <c r="AM13" i="4"/>
  <c r="AM17" i="4" s="1"/>
  <c r="AM26" i="4" s="1"/>
  <c r="E94" i="10"/>
  <c r="E92" i="10"/>
  <c r="E75" i="9"/>
  <c r="E77" i="9" s="1"/>
  <c r="AJ27" i="5"/>
  <c r="AJ17" i="5"/>
  <c r="AJ23" i="5" s="1"/>
  <c r="D93" i="10"/>
  <c r="D75" i="9"/>
  <c r="D77" i="9" s="1"/>
  <c r="H65" i="9"/>
  <c r="AK6" i="5"/>
  <c r="AK55" i="4"/>
  <c r="AK8" i="5" s="1"/>
  <c r="AK67" i="5" s="1"/>
  <c r="H71" i="9" s="1"/>
  <c r="H97" i="10" s="1"/>
  <c r="AK54" i="4"/>
  <c r="AK7" i="5" s="1"/>
  <c r="AK17" i="5" s="1"/>
  <c r="AK23" i="5" s="1"/>
  <c r="H66" i="9" s="1"/>
  <c r="H92" i="10" s="1"/>
  <c r="AK56" i="4"/>
  <c r="AK9" i="5" s="1"/>
  <c r="AK28" i="5" s="1"/>
  <c r="AL36" i="4"/>
  <c r="AL41" i="4" s="1"/>
  <c r="AL43" i="4" s="1"/>
  <c r="AL46" i="4" s="1"/>
  <c r="I65" i="9" s="1"/>
  <c r="I91" i="10" s="1"/>
  <c r="AL53" i="4"/>
  <c r="I60" i="9"/>
  <c r="I89" i="10" s="1"/>
  <c r="AJ46" i="5"/>
  <c r="AJ29" i="5"/>
  <c r="AJ41" i="5"/>
  <c r="G68" i="9" s="1"/>
  <c r="G94" i="10" s="1"/>
  <c r="J77" i="10"/>
  <c r="AH69" i="13"/>
  <c r="I59" i="9"/>
  <c r="AL11" i="5"/>
  <c r="AJ45" i="5"/>
  <c r="AJ51" i="5" s="1"/>
  <c r="AJ74" i="5"/>
  <c r="G81" i="10"/>
  <c r="G62" i="9"/>
  <c r="AK45" i="5"/>
  <c r="AK74" i="5"/>
  <c r="H72" i="9" s="1"/>
  <c r="H98" i="10" s="1"/>
  <c r="H81" i="10"/>
  <c r="H84" i="10" s="1"/>
  <c r="H62" i="9"/>
  <c r="R11" i="7"/>
  <c r="R23" i="7"/>
  <c r="AN37" i="3"/>
  <c r="AM42" i="3"/>
  <c r="AM50" i="3" s="1"/>
  <c r="AM51" i="3" s="1"/>
  <c r="AP20" i="7"/>
  <c r="AP21" i="7" s="1"/>
  <c r="AN7" i="7"/>
  <c r="AM10" i="7"/>
  <c r="AN66" i="3" l="1"/>
  <c r="AN70" i="3" s="1"/>
  <c r="AN13" i="4"/>
  <c r="AN17" i="4" s="1"/>
  <c r="AN26" i="4" s="1"/>
  <c r="AL6" i="5"/>
  <c r="AL55" i="4"/>
  <c r="AL8" i="5" s="1"/>
  <c r="AL67" i="5" s="1"/>
  <c r="I71" i="9" s="1"/>
  <c r="I97" i="10" s="1"/>
  <c r="AL54" i="4"/>
  <c r="AL7" i="5" s="1"/>
  <c r="AL56" i="4"/>
  <c r="AL9" i="5" s="1"/>
  <c r="AL28" i="5" s="1"/>
  <c r="H91" i="10"/>
  <c r="AM36" i="4"/>
  <c r="AM41" i="4" s="1"/>
  <c r="AM43" i="4" s="1"/>
  <c r="AM46" i="4" s="1"/>
  <c r="J65" i="9" s="1"/>
  <c r="J91" i="10" s="1"/>
  <c r="AM53" i="4"/>
  <c r="AJ33" i="5"/>
  <c r="AK29" i="5"/>
  <c r="AK46" i="5"/>
  <c r="AK51" i="5" s="1"/>
  <c r="H69" i="9" s="1"/>
  <c r="H95" i="10" s="1"/>
  <c r="AK41" i="5"/>
  <c r="AK27" i="5"/>
  <c r="AK33" i="5" s="1"/>
  <c r="H67" i="9" s="1"/>
  <c r="G66" i="9"/>
  <c r="F93" i="10"/>
  <c r="F75" i="9"/>
  <c r="F77" i="9" s="1"/>
  <c r="K77" i="10"/>
  <c r="AI69" i="13"/>
  <c r="G84" i="10"/>
  <c r="G72" i="9"/>
  <c r="AL45" i="5"/>
  <c r="AL74" i="5"/>
  <c r="I72" i="9" s="1"/>
  <c r="I98" i="10" s="1"/>
  <c r="I81" i="10"/>
  <c r="I84" i="10" s="1"/>
  <c r="I62" i="9"/>
  <c r="J59" i="9"/>
  <c r="AM11" i="5"/>
  <c r="G69" i="9"/>
  <c r="R24" i="7"/>
  <c r="M21" i="9" s="1"/>
  <c r="R9" i="7"/>
  <c r="R12" i="7" s="1"/>
  <c r="R25" i="7" s="1"/>
  <c r="M30" i="10" s="1"/>
  <c r="N30" i="10" s="1"/>
  <c r="AO37" i="3"/>
  <c r="AN42" i="3"/>
  <c r="AN50" i="3" s="1"/>
  <c r="AN51" i="3" s="1"/>
  <c r="AO7" i="7"/>
  <c r="AN10" i="7"/>
  <c r="H93" i="10" l="1"/>
  <c r="H68" i="9"/>
  <c r="G67" i="9"/>
  <c r="AL41" i="5"/>
  <c r="I68" i="9" s="1"/>
  <c r="I94" i="10" s="1"/>
  <c r="AL29" i="5"/>
  <c r="AL46" i="5"/>
  <c r="AL51" i="5" s="1"/>
  <c r="I69" i="9" s="1"/>
  <c r="I95" i="10" s="1"/>
  <c r="AL17" i="5"/>
  <c r="AL23" i="5" s="1"/>
  <c r="AL27" i="5"/>
  <c r="AL33" i="5" s="1"/>
  <c r="I67" i="9" s="1"/>
  <c r="I93" i="10" s="1"/>
  <c r="AO66" i="3"/>
  <c r="AO70" i="3" s="1"/>
  <c r="L60" i="9" s="1"/>
  <c r="L89" i="10" s="1"/>
  <c r="AO13" i="4"/>
  <c r="AO17" i="4" s="1"/>
  <c r="AO26" i="4" s="1"/>
  <c r="AM6" i="5"/>
  <c r="AM55" i="4"/>
  <c r="AM8" i="5" s="1"/>
  <c r="AM67" i="5" s="1"/>
  <c r="J71" i="9" s="1"/>
  <c r="J97" i="10" s="1"/>
  <c r="AM54" i="4"/>
  <c r="AM7" i="5" s="1"/>
  <c r="AN36" i="4"/>
  <c r="AN41" i="4" s="1"/>
  <c r="AN43" i="4" s="1"/>
  <c r="AN46" i="4" s="1"/>
  <c r="K65" i="9" s="1"/>
  <c r="K91" i="10" s="1"/>
  <c r="AN53" i="4"/>
  <c r="G92" i="10"/>
  <c r="K60" i="9"/>
  <c r="K89" i="10" s="1"/>
  <c r="L77" i="10"/>
  <c r="AJ69" i="13"/>
  <c r="B24" i="7"/>
  <c r="C26" i="12" s="1"/>
  <c r="K59" i="9"/>
  <c r="AN11" i="5"/>
  <c r="G98" i="10"/>
  <c r="G95" i="10"/>
  <c r="AM45" i="5"/>
  <c r="AM74" i="5"/>
  <c r="J72" i="9" s="1"/>
  <c r="J98" i="10" s="1"/>
  <c r="J81" i="10"/>
  <c r="J84" i="10" s="1"/>
  <c r="J62" i="9"/>
  <c r="S8" i="7"/>
  <c r="S9" i="7" s="1"/>
  <c r="T9" i="7" s="1"/>
  <c r="U9" i="7" s="1"/>
  <c r="V9" i="7" s="1"/>
  <c r="W9" i="7" s="1"/>
  <c r="X9" i="7" s="1"/>
  <c r="Y9" i="7" s="1"/>
  <c r="Z9" i="7" s="1"/>
  <c r="AA9" i="7" s="1"/>
  <c r="AB9" i="7" s="1"/>
  <c r="AC9" i="7" s="1"/>
  <c r="AD9" i="7" s="1"/>
  <c r="AE9" i="7" s="1"/>
  <c r="AF9" i="7" s="1"/>
  <c r="AG9" i="7" s="1"/>
  <c r="AH9" i="7" s="1"/>
  <c r="AI9" i="7" s="1"/>
  <c r="AJ9" i="7" s="1"/>
  <c r="AK9" i="7" s="1"/>
  <c r="AL9" i="7" s="1"/>
  <c r="AM9" i="7" s="1"/>
  <c r="AN9" i="7" s="1"/>
  <c r="AO9" i="7" s="1"/>
  <c r="M27" i="10"/>
  <c r="N27" i="10" s="1"/>
  <c r="N21" i="9"/>
  <c r="AP37" i="3"/>
  <c r="AP13" i="4" s="1"/>
  <c r="AP17" i="4" s="1"/>
  <c r="AP26" i="4" s="1"/>
  <c r="AO42" i="3"/>
  <c r="AO50" i="3" s="1"/>
  <c r="AO51" i="3" s="1"/>
  <c r="AP7" i="7"/>
  <c r="AO10" i="7"/>
  <c r="AM56" i="4" l="1"/>
  <c r="AM9" i="5" s="1"/>
  <c r="AM28" i="5" s="1"/>
  <c r="AM27" i="5"/>
  <c r="AM17" i="5"/>
  <c r="AM23" i="5" s="1"/>
  <c r="J66" i="9" s="1"/>
  <c r="J92" i="10" s="1"/>
  <c r="G93" i="10"/>
  <c r="AM46" i="5"/>
  <c r="AM51" i="5" s="1"/>
  <c r="J69" i="9" s="1"/>
  <c r="J95" i="10" s="1"/>
  <c r="AM41" i="5"/>
  <c r="J68" i="9" s="1"/>
  <c r="J94" i="10" s="1"/>
  <c r="AM29" i="5"/>
  <c r="AP36" i="4"/>
  <c r="AP41" i="4" s="1"/>
  <c r="AP43" i="4" s="1"/>
  <c r="AP46" i="4" s="1"/>
  <c r="AP53" i="4"/>
  <c r="S11" i="7"/>
  <c r="S24" i="7" s="1"/>
  <c r="B47" i="9" s="1"/>
  <c r="B63" i="10" s="1"/>
  <c r="H94" i="10"/>
  <c r="I66" i="9"/>
  <c r="G75" i="9"/>
  <c r="G77" i="9" s="1"/>
  <c r="AO36" i="4"/>
  <c r="AO41" i="4" s="1"/>
  <c r="AO43" i="4" s="1"/>
  <c r="AO46" i="4" s="1"/>
  <c r="L65" i="9" s="1"/>
  <c r="L91" i="10" s="1"/>
  <c r="AO53" i="4"/>
  <c r="AN6" i="5"/>
  <c r="AN55" i="4"/>
  <c r="AN8" i="5" s="1"/>
  <c r="AN67" i="5" s="1"/>
  <c r="K71" i="9" s="1"/>
  <c r="K97" i="10" s="1"/>
  <c r="AN54" i="4"/>
  <c r="AN7" i="5" s="1"/>
  <c r="H75" i="9"/>
  <c r="H77" i="9" s="1"/>
  <c r="M77" i="10"/>
  <c r="AL69" i="13" s="1"/>
  <c r="AK69" i="13"/>
  <c r="L59" i="9"/>
  <c r="AO11" i="5"/>
  <c r="AN45" i="5"/>
  <c r="AN74" i="5"/>
  <c r="K81" i="10"/>
  <c r="K84" i="10" s="1"/>
  <c r="K62" i="9"/>
  <c r="S23" i="7"/>
  <c r="AP42" i="3"/>
  <c r="AP50" i="3" s="1"/>
  <c r="AP51" i="3" s="1"/>
  <c r="D51" i="3" s="1"/>
  <c r="E7" i="12" s="1"/>
  <c r="E10" i="12" s="1"/>
  <c r="AP66" i="3"/>
  <c r="AP70" i="3" s="1"/>
  <c r="AP10" i="7"/>
  <c r="AP9" i="7"/>
  <c r="AN56" i="4" l="1"/>
  <c r="AN9" i="5" s="1"/>
  <c r="AN28" i="5" s="1"/>
  <c r="S12" i="7"/>
  <c r="AO6" i="5"/>
  <c r="AO55" i="4"/>
  <c r="AO8" i="5" s="1"/>
  <c r="AO67" i="5" s="1"/>
  <c r="L71" i="9" s="1"/>
  <c r="L97" i="10" s="1"/>
  <c r="AO54" i="4"/>
  <c r="AO7" i="5" s="1"/>
  <c r="I92" i="10"/>
  <c r="I75" i="9"/>
  <c r="I77" i="9" s="1"/>
  <c r="M65" i="9"/>
  <c r="D46" i="4"/>
  <c r="E16" i="12" s="1"/>
  <c r="E34" i="12" s="1"/>
  <c r="D50" i="3"/>
  <c r="AN17" i="5"/>
  <c r="AN23" i="5" s="1"/>
  <c r="K66" i="9" s="1"/>
  <c r="K92" i="10" s="1"/>
  <c r="AN27" i="5"/>
  <c r="M60" i="9"/>
  <c r="D70" i="3"/>
  <c r="E11" i="12" s="1"/>
  <c r="E13" i="12" s="1"/>
  <c r="E15" i="12" s="1"/>
  <c r="AN46" i="5"/>
  <c r="AN51" i="5" s="1"/>
  <c r="K69" i="9" s="1"/>
  <c r="AN29" i="5"/>
  <c r="AN41" i="5"/>
  <c r="K68" i="9" s="1"/>
  <c r="K94" i="10" s="1"/>
  <c r="AP6" i="5"/>
  <c r="AP54" i="4"/>
  <c r="AP7" i="5" s="1"/>
  <c r="AP55" i="4"/>
  <c r="AP8" i="5" s="1"/>
  <c r="AP67" i="5" s="1"/>
  <c r="AM33" i="5"/>
  <c r="E39" i="12"/>
  <c r="E33" i="12"/>
  <c r="K72" i="9"/>
  <c r="M59" i="9"/>
  <c r="AP11" i="5"/>
  <c r="AO45" i="5"/>
  <c r="AO74" i="5"/>
  <c r="L72" i="9" s="1"/>
  <c r="L98" i="10" s="1"/>
  <c r="L81" i="10"/>
  <c r="L84" i="10" s="1"/>
  <c r="L62" i="9"/>
  <c r="AO56" i="4" l="1"/>
  <c r="AO9" i="5" s="1"/>
  <c r="AO28" i="5" s="1"/>
  <c r="AP56" i="4"/>
  <c r="AP9" i="5" s="1"/>
  <c r="AP28" i="5" s="1"/>
  <c r="AN33" i="5"/>
  <c r="K67" i="9" s="1"/>
  <c r="K93" i="10" s="1"/>
  <c r="T8" i="7"/>
  <c r="S25" i="7"/>
  <c r="B66" i="10" s="1"/>
  <c r="B68" i="10" s="1"/>
  <c r="B69" i="10" s="1"/>
  <c r="K75" i="9"/>
  <c r="K77" i="9" s="1"/>
  <c r="K95" i="10"/>
  <c r="M89" i="10"/>
  <c r="N89" i="10" s="1"/>
  <c r="N60" i="9"/>
  <c r="M91" i="10"/>
  <c r="N91" i="10" s="1"/>
  <c r="N65" i="9"/>
  <c r="J67" i="9"/>
  <c r="AP46" i="5"/>
  <c r="AP29" i="5"/>
  <c r="AP41" i="5"/>
  <c r="E32" i="12"/>
  <c r="AO29" i="5"/>
  <c r="AO41" i="5"/>
  <c r="L68" i="9" s="1"/>
  <c r="L94" i="10" s="1"/>
  <c r="AO46" i="5"/>
  <c r="AO51" i="5" s="1"/>
  <c r="L69" i="9" s="1"/>
  <c r="L95" i="10" s="1"/>
  <c r="M71" i="9"/>
  <c r="D67" i="5"/>
  <c r="E22" i="12" s="1"/>
  <c r="E40" i="12" s="1"/>
  <c r="AP17" i="5"/>
  <c r="AP23" i="5" s="1"/>
  <c r="AP27" i="5"/>
  <c r="AO17" i="5"/>
  <c r="AO23" i="5" s="1"/>
  <c r="L66" i="9" s="1"/>
  <c r="AO27" i="5"/>
  <c r="AP45" i="5"/>
  <c r="AP51" i="5" s="1"/>
  <c r="AP74" i="5"/>
  <c r="M81" i="10"/>
  <c r="M62" i="9"/>
  <c r="N59" i="9"/>
  <c r="N62" i="9" s="1"/>
  <c r="K98" i="10"/>
  <c r="T23" i="7" l="1"/>
  <c r="T11" i="7"/>
  <c r="T24" i="7" s="1"/>
  <c r="T12" i="7"/>
  <c r="AP33" i="5"/>
  <c r="M67" i="9" s="1"/>
  <c r="M93" i="10" s="1"/>
  <c r="M66" i="9"/>
  <c r="M92" i="10" s="1"/>
  <c r="D23" i="5"/>
  <c r="E17" i="12" s="1"/>
  <c r="E35" i="12" s="1"/>
  <c r="J93" i="10"/>
  <c r="J75" i="9"/>
  <c r="J77" i="9" s="1"/>
  <c r="D33" i="5"/>
  <c r="E18" i="12" s="1"/>
  <c r="E36" i="12" s="1"/>
  <c r="M97" i="10"/>
  <c r="N97" i="10" s="1"/>
  <c r="N71" i="9"/>
  <c r="AO33" i="5"/>
  <c r="L67" i="9" s="1"/>
  <c r="L92" i="10"/>
  <c r="M68" i="9"/>
  <c r="D41" i="5"/>
  <c r="E19" i="12" s="1"/>
  <c r="E37" i="12" s="1"/>
  <c r="M69" i="9"/>
  <c r="D51" i="5"/>
  <c r="E20" i="12" s="1"/>
  <c r="M84" i="10"/>
  <c r="N84" i="10" s="1"/>
  <c r="N81" i="10"/>
  <c r="M72" i="9"/>
  <c r="D74" i="5"/>
  <c r="E23" i="12" s="1"/>
  <c r="E41" i="12" s="1"/>
  <c r="C47" i="9"/>
  <c r="C63" i="10" s="1"/>
  <c r="T25" i="7"/>
  <c r="C66" i="10" s="1"/>
  <c r="U8" i="7"/>
  <c r="N66" i="9" l="1"/>
  <c r="L93" i="10"/>
  <c r="L75" i="9"/>
  <c r="L77" i="9" s="1"/>
  <c r="N67" i="9"/>
  <c r="N93" i="10"/>
  <c r="M94" i="10"/>
  <c r="N94" i="10" s="1"/>
  <c r="N68" i="9"/>
  <c r="N92" i="10"/>
  <c r="M95" i="10"/>
  <c r="N95" i="10" s="1"/>
  <c r="M75" i="9"/>
  <c r="M77" i="9" s="1"/>
  <c r="N69" i="9"/>
  <c r="E38" i="12"/>
  <c r="E24" i="12"/>
  <c r="M98" i="10"/>
  <c r="N98" i="10" s="1"/>
  <c r="N72" i="9"/>
  <c r="U23" i="7"/>
  <c r="U11" i="7"/>
  <c r="U24" i="7" l="1"/>
  <c r="U12" i="7"/>
  <c r="V8" i="7" l="1"/>
  <c r="U25" i="7"/>
  <c r="D66" i="10" s="1"/>
  <c r="D47" i="9"/>
  <c r="D63" i="10" s="1"/>
  <c r="V23" i="7" l="1"/>
  <c r="V11" i="7"/>
  <c r="V24" i="7" l="1"/>
  <c r="V12" i="7"/>
  <c r="V25" i="7" l="1"/>
  <c r="E66" i="10" s="1"/>
  <c r="W8" i="7"/>
  <c r="E47" i="9"/>
  <c r="E63" i="10" s="1"/>
  <c r="E68" i="10" l="1"/>
  <c r="E69" i="10" s="1"/>
  <c r="W23" i="7"/>
  <c r="W11" i="7"/>
  <c r="W24" i="7" s="1"/>
  <c r="W12" i="7" l="1"/>
  <c r="F47" i="9"/>
  <c r="F63" i="10" s="1"/>
  <c r="W25" i="7" l="1"/>
  <c r="F66" i="10" s="1"/>
  <c r="X8" i="7"/>
  <c r="X23" i="7" l="1"/>
  <c r="X11" i="7"/>
  <c r="X24" i="7" l="1"/>
  <c r="G47" i="9" s="1"/>
  <c r="G63" i="10" s="1"/>
  <c r="X12" i="7"/>
  <c r="X25" i="7" l="1"/>
  <c r="G66" i="10" s="1"/>
  <c r="Y8" i="7"/>
  <c r="Y11" i="7" l="1"/>
  <c r="Y24" i="7" s="1"/>
  <c r="H47" i="9" s="1"/>
  <c r="H63" i="10" s="1"/>
  <c r="Y23" i="7"/>
  <c r="Y12" i="7" l="1"/>
  <c r="Y25" i="7" l="1"/>
  <c r="H66" i="10" s="1"/>
  <c r="H68" i="10" s="1"/>
  <c r="H69" i="10" s="1"/>
  <c r="Z8" i="7"/>
  <c r="Z11" i="7" l="1"/>
  <c r="Z24" i="7" s="1"/>
  <c r="I47" i="9" s="1"/>
  <c r="I63" i="10" s="1"/>
  <c r="Z23" i="7"/>
  <c r="Z12" i="7" l="1"/>
  <c r="Z25" i="7" s="1"/>
  <c r="I66" i="10" s="1"/>
  <c r="AA8" i="7"/>
  <c r="AA23" i="7" s="1"/>
  <c r="AA11" i="7"/>
  <c r="AA24" i="7" s="1"/>
  <c r="J47" i="9" s="1"/>
  <c r="J63" i="10" s="1"/>
  <c r="AA12" i="7" l="1"/>
  <c r="AA25" i="7" l="1"/>
  <c r="J66" i="10" s="1"/>
  <c r="AB8" i="7"/>
  <c r="AB11" i="7" l="1"/>
  <c r="AB24" i="7" s="1"/>
  <c r="K47" i="9" s="1"/>
  <c r="K63" i="10" s="1"/>
  <c r="AB23" i="7"/>
  <c r="AB12" i="7" l="1"/>
  <c r="AB25" i="7" l="1"/>
  <c r="K66" i="10" s="1"/>
  <c r="K68" i="10" s="1"/>
  <c r="K69" i="10" s="1"/>
  <c r="AC8" i="7"/>
  <c r="AC11" i="7" l="1"/>
  <c r="AC24" i="7" s="1"/>
  <c r="L47" i="9" s="1"/>
  <c r="L63" i="10" s="1"/>
  <c r="AC23" i="7"/>
  <c r="AC12" i="7" l="1"/>
  <c r="AC25" i="7" s="1"/>
  <c r="L66" i="10" s="1"/>
  <c r="AD8" i="7" l="1"/>
  <c r="AD11" i="7" s="1"/>
  <c r="AD24" i="7" s="1"/>
  <c r="M47" i="9" l="1"/>
  <c r="C24" i="7"/>
  <c r="D26" i="12" s="1"/>
  <c r="D27" i="12" s="1"/>
  <c r="D42" i="12" s="1"/>
  <c r="AD23" i="7"/>
  <c r="AD12" i="7"/>
  <c r="N47" i="9" l="1"/>
  <c r="N49" i="9" s="1"/>
  <c r="N51" i="9" s="1"/>
  <c r="AD31" i="7" s="1"/>
  <c r="M63" i="10"/>
  <c r="N63" i="10" s="1"/>
  <c r="AD25" i="7"/>
  <c r="M66" i="10" s="1"/>
  <c r="AE8" i="7"/>
  <c r="M67" i="10" l="1"/>
  <c r="N67" i="10" s="1"/>
  <c r="AD32" i="7"/>
  <c r="N66" i="10"/>
  <c r="AE11" i="7"/>
  <c r="AE24" i="7" s="1"/>
  <c r="AE23" i="7"/>
  <c r="B73" i="9" l="1"/>
  <c r="B99" i="10" s="1"/>
  <c r="AE12" i="7"/>
  <c r="AE25" i="7" s="1"/>
  <c r="B102" i="10" s="1"/>
  <c r="B104" i="10" l="1"/>
  <c r="B105" i="10" s="1"/>
  <c r="AF8" i="7"/>
  <c r="AF11" i="7" s="1"/>
  <c r="AF24" i="7" s="1"/>
  <c r="AF23" i="7" l="1"/>
  <c r="C73" i="9"/>
  <c r="C99" i="10" s="1"/>
  <c r="AF12" i="7"/>
  <c r="AF25" i="7" s="1"/>
  <c r="C102" i="10" s="1"/>
  <c r="AG8" i="7" l="1"/>
  <c r="AG11" i="7" s="1"/>
  <c r="AG24" i="7" s="1"/>
  <c r="AG23" i="7"/>
  <c r="D73" i="9" l="1"/>
  <c r="D99" i="10" s="1"/>
  <c r="AG12" i="7"/>
  <c r="AG25" i="7" l="1"/>
  <c r="D102" i="10" s="1"/>
  <c r="AH8" i="7"/>
  <c r="AH11" i="7" l="1"/>
  <c r="AH24" i="7" s="1"/>
  <c r="AH23" i="7"/>
  <c r="E73" i="9" l="1"/>
  <c r="E99" i="10" s="1"/>
  <c r="AH12" i="7"/>
  <c r="AH25" i="7" s="1"/>
  <c r="E102" i="10" s="1"/>
  <c r="E104" i="10" s="1"/>
  <c r="E105" i="10" s="1"/>
  <c r="AI8" i="7" l="1"/>
  <c r="AI11" i="7" s="1"/>
  <c r="AI24" i="7" s="1"/>
  <c r="AI23" i="7" l="1"/>
  <c r="F73" i="9"/>
  <c r="F99" i="10" s="1"/>
  <c r="AI12" i="7"/>
  <c r="AI25" i="7" s="1"/>
  <c r="F102" i="10" s="1"/>
  <c r="AJ8" i="7" l="1"/>
  <c r="AJ11" i="7" s="1"/>
  <c r="AJ24" i="7" s="1"/>
  <c r="G73" i="9" s="1"/>
  <c r="G99" i="10" s="1"/>
  <c r="AJ23" i="7" l="1"/>
  <c r="AJ12" i="7"/>
  <c r="AJ25" i="7" l="1"/>
  <c r="G102" i="10" s="1"/>
  <c r="AK8" i="7"/>
  <c r="AK23" i="7" l="1"/>
  <c r="AK11" i="7"/>
  <c r="AK24" i="7" s="1"/>
  <c r="H73" i="9" s="1"/>
  <c r="H99" i="10" s="1"/>
  <c r="AK12" i="7" l="1"/>
  <c r="AK25" i="7" l="1"/>
  <c r="H102" i="10" s="1"/>
  <c r="H104" i="10" s="1"/>
  <c r="H105" i="10" s="1"/>
  <c r="AL8" i="7"/>
  <c r="AL23" i="7" l="1"/>
  <c r="AL11" i="7"/>
  <c r="AL24" i="7" s="1"/>
  <c r="I73" i="9" s="1"/>
  <c r="I99" i="10" s="1"/>
  <c r="AL12" i="7" l="1"/>
  <c r="AL25" i="7" l="1"/>
  <c r="I102" i="10" s="1"/>
  <c r="AM8" i="7"/>
  <c r="AM23" i="7" l="1"/>
  <c r="AM11" i="7"/>
  <c r="AM24" i="7" s="1"/>
  <c r="J73" i="9" s="1"/>
  <c r="J99" i="10" s="1"/>
  <c r="AM12" i="7" l="1"/>
  <c r="AM25" i="7" l="1"/>
  <c r="J102" i="10" s="1"/>
  <c r="AN8" i="7"/>
  <c r="AN23" i="7" l="1"/>
  <c r="AN11" i="7"/>
  <c r="AN24" i="7" s="1"/>
  <c r="K73" i="9" s="1"/>
  <c r="K99" i="10" s="1"/>
  <c r="AN12" i="7" l="1"/>
  <c r="AN25" i="7" l="1"/>
  <c r="K102" i="10" s="1"/>
  <c r="K104" i="10" s="1"/>
  <c r="K105" i="10" s="1"/>
  <c r="AO8" i="7"/>
  <c r="AO23" i="7" l="1"/>
  <c r="AO11" i="7"/>
  <c r="AO24" i="7" s="1"/>
  <c r="L73" i="9" s="1"/>
  <c r="L99" i="10" s="1"/>
  <c r="AO12" i="7" l="1"/>
  <c r="AO25" i="7" l="1"/>
  <c r="L102" i="10" s="1"/>
  <c r="AP8" i="7"/>
  <c r="AP23" i="7" l="1"/>
  <c r="AP11" i="7"/>
  <c r="AP24" i="7" s="1"/>
  <c r="M73" i="9" l="1"/>
  <c r="D24" i="7"/>
  <c r="E26" i="12" s="1"/>
  <c r="E27" i="12" s="1"/>
  <c r="AP12" i="7"/>
  <c r="AP25" i="7" s="1"/>
  <c r="M102" i="10" s="1"/>
  <c r="G22" i="6"/>
  <c r="N73" i="9" l="1"/>
  <c r="N75" i="9" s="1"/>
  <c r="N77" i="9" s="1"/>
  <c r="AP31" i="7" s="1"/>
  <c r="M103" i="10" s="1"/>
  <c r="N103" i="10" s="1"/>
  <c r="M99" i="10"/>
  <c r="N99" i="10" s="1"/>
  <c r="E42" i="12"/>
  <c r="C100" i="10"/>
  <c r="D100" i="10"/>
  <c r="G29" i="6"/>
  <c r="B22" i="6"/>
  <c r="C25" i="12" s="1"/>
  <c r="C27" i="12" s="1"/>
  <c r="N102" i="10"/>
  <c r="AP32" i="7" l="1"/>
  <c r="J100" i="10"/>
  <c r="J104" i="10" s="1"/>
  <c r="J105" i="10" s="1"/>
  <c r="G100" i="10"/>
  <c r="G104" i="10" s="1"/>
  <c r="G105" i="10" s="1"/>
  <c r="M100" i="10"/>
  <c r="M104" i="10" s="1"/>
  <c r="M105" i="10" s="1"/>
  <c r="D104" i="10"/>
  <c r="D105" i="10" s="1"/>
  <c r="L100" i="10"/>
  <c r="L104" i="10" s="1"/>
  <c r="L105" i="10" s="1"/>
  <c r="I100" i="10"/>
  <c r="I104" i="10" s="1"/>
  <c r="I105" i="10" s="1"/>
  <c r="F100" i="10"/>
  <c r="F104" i="10" s="1"/>
  <c r="F105" i="10" s="1"/>
  <c r="C104" i="10"/>
  <c r="C105" i="10" s="1"/>
  <c r="G30" i="6"/>
  <c r="H30" i="6" s="1"/>
  <c r="I30" i="6" s="1"/>
  <c r="J30" i="6" s="1"/>
  <c r="K30" i="6" s="1"/>
  <c r="L30" i="6" s="1"/>
  <c r="M30" i="6" s="1"/>
  <c r="N30" i="6" s="1"/>
  <c r="O30" i="6" s="1"/>
  <c r="P30" i="6" s="1"/>
  <c r="Q30" i="6" s="1"/>
  <c r="R30" i="6" s="1"/>
  <c r="S30" i="6" s="1"/>
  <c r="T30" i="6" s="1"/>
  <c r="U30" i="6" s="1"/>
  <c r="V30" i="6" s="1"/>
  <c r="W30" i="6" s="1"/>
  <c r="X30" i="6" s="1"/>
  <c r="Y30" i="6" s="1"/>
  <c r="Z30" i="6" s="1"/>
  <c r="AA30" i="6" s="1"/>
  <c r="AB30" i="6" s="1"/>
  <c r="AC30" i="6" s="1"/>
  <c r="AD30" i="6" s="1"/>
  <c r="AE30" i="6" s="1"/>
  <c r="AF30" i="6" s="1"/>
  <c r="AG30" i="6" s="1"/>
  <c r="AH30" i="6" s="1"/>
  <c r="AI30" i="6" s="1"/>
  <c r="AJ30" i="6" s="1"/>
  <c r="AK30" i="6" s="1"/>
  <c r="AL30" i="6" s="1"/>
  <c r="AM30" i="6" s="1"/>
  <c r="AN30" i="6" s="1"/>
  <c r="AO30" i="6" s="1"/>
  <c r="AP30" i="6" s="1"/>
  <c r="B22" i="9"/>
  <c r="N22" i="9" s="1"/>
  <c r="N23" i="9" s="1"/>
  <c r="N25" i="9" s="1"/>
  <c r="C42" i="12"/>
  <c r="D64" i="10" l="1"/>
  <c r="C64" i="10"/>
  <c r="R31" i="7"/>
  <c r="R32" i="7" s="1"/>
  <c r="N100" i="10"/>
  <c r="C28" i="10"/>
  <c r="D28" i="10"/>
  <c r="M31" i="10" l="1"/>
  <c r="N31" i="10" s="1"/>
  <c r="S29" i="7"/>
  <c r="T29" i="7" s="1"/>
  <c r="U29" i="7" s="1"/>
  <c r="V29" i="7" s="1"/>
  <c r="W29" i="7" s="1"/>
  <c r="X29" i="7" s="1"/>
  <c r="Y29" i="7" s="1"/>
  <c r="Z29" i="7" s="1"/>
  <c r="AA29" i="7" s="1"/>
  <c r="AB29" i="7" s="1"/>
  <c r="AC29" i="7" s="1"/>
  <c r="AD29" i="7" s="1"/>
  <c r="AE29" i="7" s="1"/>
  <c r="AF29" i="7" s="1"/>
  <c r="AG29" i="7" s="1"/>
  <c r="AH29" i="7" s="1"/>
  <c r="AI29" i="7" s="1"/>
  <c r="AJ29" i="7" s="1"/>
  <c r="AK29" i="7" s="1"/>
  <c r="AL29" i="7" s="1"/>
  <c r="AM29" i="7" s="1"/>
  <c r="AN29" i="7" s="1"/>
  <c r="AO29" i="7" s="1"/>
  <c r="AP29" i="7" s="1"/>
  <c r="E28" i="12"/>
  <c r="N104" i="10"/>
  <c r="N105" i="10" s="1"/>
  <c r="G28" i="10"/>
  <c r="G32" i="10" s="1"/>
  <c r="G33" i="10" s="1"/>
  <c r="M28" i="10"/>
  <c r="M32" i="10" s="1"/>
  <c r="M33" i="10" s="1"/>
  <c r="J28" i="10"/>
  <c r="J32" i="10" s="1"/>
  <c r="J33" i="10" s="1"/>
  <c r="D32" i="10"/>
  <c r="D33" i="10" s="1"/>
  <c r="F28" i="10"/>
  <c r="F32" i="10" s="1"/>
  <c r="F33" i="10" s="1"/>
  <c r="I28" i="10"/>
  <c r="I32" i="10" s="1"/>
  <c r="I33" i="10" s="1"/>
  <c r="L28" i="10"/>
  <c r="L32" i="10" s="1"/>
  <c r="L33" i="10" s="1"/>
  <c r="C32" i="10"/>
  <c r="C33" i="10" s="1"/>
  <c r="C35" i="10" s="1"/>
  <c r="L64" i="10"/>
  <c r="L68" i="10" s="1"/>
  <c r="L69" i="10" s="1"/>
  <c r="F64" i="10"/>
  <c r="F68" i="10" s="1"/>
  <c r="F69" i="10" s="1"/>
  <c r="I64" i="10"/>
  <c r="I68" i="10" s="1"/>
  <c r="I69" i="10" s="1"/>
  <c r="C68" i="10"/>
  <c r="C69" i="10" s="1"/>
  <c r="J64" i="10"/>
  <c r="J68" i="10" s="1"/>
  <c r="J69" i="10" s="1"/>
  <c r="G64" i="10"/>
  <c r="G68" i="10" s="1"/>
  <c r="G69" i="10" s="1"/>
  <c r="M64" i="10"/>
  <c r="M68" i="10" s="1"/>
  <c r="M69" i="10" s="1"/>
  <c r="D68" i="10"/>
  <c r="D69" i="10" s="1"/>
  <c r="D7" i="10" l="1"/>
  <c r="D13" i="10" s="1"/>
  <c r="D70" i="13"/>
  <c r="E43" i="12"/>
  <c r="E29" i="12"/>
  <c r="E44" i="12" s="1"/>
  <c r="N28" i="10"/>
  <c r="C28" i="12" s="1"/>
  <c r="N64" i="10"/>
  <c r="N32" i="10" l="1"/>
  <c r="N33" i="10" s="1"/>
  <c r="D35" i="10"/>
  <c r="E7" i="10"/>
  <c r="E13" i="10" s="1"/>
  <c r="E70" i="13"/>
  <c r="D28" i="12"/>
  <c r="N68" i="10"/>
  <c r="N69" i="10" s="1"/>
  <c r="C43" i="12"/>
  <c r="C29" i="12"/>
  <c r="C44" i="12" s="1"/>
  <c r="E35" i="10" l="1"/>
  <c r="F7" i="10" s="1"/>
  <c r="D43" i="12"/>
  <c r="D29" i="12"/>
  <c r="D44" i="12" s="1"/>
  <c r="F35" i="10" l="1"/>
  <c r="G7" i="10" s="1"/>
  <c r="G13" i="10" s="1"/>
  <c r="F13" i="10"/>
  <c r="F70" i="13"/>
  <c r="G70" i="13" l="1"/>
  <c r="G35" i="10"/>
  <c r="H7" i="10"/>
  <c r="H13" i="10" s="1"/>
  <c r="H70" i="13"/>
  <c r="H35" i="10" l="1"/>
  <c r="I7" i="10" s="1"/>
  <c r="I13" i="10" s="1"/>
  <c r="I70" i="13"/>
  <c r="I35" i="10" l="1"/>
  <c r="J7" i="10" s="1"/>
  <c r="J70" i="13"/>
  <c r="J35" i="10" l="1"/>
  <c r="J13" i="10"/>
  <c r="K7" i="10"/>
  <c r="K13" i="10" s="1"/>
  <c r="K70" i="13"/>
  <c r="K35" i="10" l="1"/>
  <c r="L7" i="10" s="1"/>
  <c r="L13" i="10" l="1"/>
  <c r="L35" i="10"/>
  <c r="L70" i="13"/>
  <c r="M7" i="10"/>
  <c r="M35" i="10" s="1"/>
  <c r="M70" i="13"/>
  <c r="M13" i="10"/>
  <c r="B43" i="10" l="1"/>
  <c r="N70" i="13"/>
  <c r="B49" i="10"/>
  <c r="B71" i="10"/>
  <c r="C43" i="10" l="1"/>
  <c r="C49" i="10" s="1"/>
  <c r="O70" i="13"/>
  <c r="C71" i="10" l="1"/>
  <c r="D43" i="10" s="1"/>
  <c r="D49" i="10" s="1"/>
  <c r="P70" i="13"/>
  <c r="D71" i="10" l="1"/>
  <c r="Q70" i="13" s="1"/>
  <c r="E43" i="10"/>
  <c r="E49" i="10" s="1"/>
  <c r="E71" i="10" l="1"/>
  <c r="F43" i="10" s="1"/>
  <c r="F71" i="10" l="1"/>
  <c r="F49" i="10"/>
  <c r="R70" i="13"/>
  <c r="G43" i="10"/>
  <c r="S70" i="13"/>
  <c r="G49" i="10"/>
  <c r="G71" i="10"/>
  <c r="H43" i="10" l="1"/>
  <c r="H49" i="10" s="1"/>
  <c r="T70" i="13"/>
  <c r="H71" i="10" l="1"/>
  <c r="I43" i="10" s="1"/>
  <c r="U70" i="13"/>
  <c r="I49" i="10" l="1"/>
  <c r="I71" i="10"/>
  <c r="J43" i="10" s="1"/>
  <c r="J71" i="10" l="1"/>
  <c r="J49" i="10"/>
  <c r="V70" i="13"/>
  <c r="K43" i="10"/>
  <c r="K71" i="10" s="1"/>
  <c r="W70" i="13"/>
  <c r="K49" i="10"/>
  <c r="L43" i="10" l="1"/>
  <c r="L49" i="10" s="1"/>
  <c r="X70" i="13"/>
  <c r="L71" i="10" l="1"/>
  <c r="M43" i="10" s="1"/>
  <c r="Y70" i="13" l="1"/>
  <c r="M71" i="10"/>
  <c r="B79" i="10" s="1"/>
  <c r="M49" i="10"/>
  <c r="B107" i="10" l="1"/>
  <c r="C79" i="10" s="1"/>
  <c r="B85" i="10"/>
  <c r="Z70" i="13"/>
  <c r="AA70" i="13"/>
  <c r="C107" i="10" l="1"/>
  <c r="C85" i="10"/>
  <c r="D79" i="10"/>
  <c r="D107" i="10" s="1"/>
  <c r="AB70" i="13"/>
  <c r="D85" i="10" l="1"/>
  <c r="E79" i="10"/>
  <c r="E107" i="10" s="1"/>
  <c r="AC70" i="13"/>
  <c r="E85" i="10" l="1"/>
  <c r="F79" i="10"/>
  <c r="F85" i="10" s="1"/>
  <c r="AD70" i="13"/>
  <c r="F107" i="10" l="1"/>
  <c r="G79" i="10" l="1"/>
  <c r="AE70" i="13"/>
  <c r="G85" i="10" l="1"/>
  <c r="G107" i="10"/>
  <c r="H79" i="10" l="1"/>
  <c r="AF70" i="13"/>
  <c r="H85" i="10" l="1"/>
  <c r="H107" i="10"/>
  <c r="I79" i="10" l="1"/>
  <c r="AG70" i="13"/>
  <c r="I85" i="10" l="1"/>
  <c r="I107" i="10"/>
  <c r="J79" i="10" l="1"/>
  <c r="AH70" i="13"/>
  <c r="J85" i="10" l="1"/>
  <c r="J107" i="10"/>
  <c r="K79" i="10" l="1"/>
  <c r="AI70" i="13"/>
  <c r="K85" i="10" l="1"/>
  <c r="K107" i="10"/>
  <c r="L79" i="10" l="1"/>
  <c r="AJ70" i="13"/>
  <c r="L85" i="10" l="1"/>
  <c r="L107" i="10"/>
  <c r="M79" i="10" l="1"/>
  <c r="AK70" i="13"/>
  <c r="M85" i="10" l="1"/>
  <c r="M107" i="10"/>
  <c r="AL70" i="13" s="1"/>
</calcChain>
</file>

<file path=xl/sharedStrings.xml><?xml version="1.0" encoding="utf-8"?>
<sst xmlns="http://schemas.openxmlformats.org/spreadsheetml/2006/main" count="757" uniqueCount="327">
  <si>
    <t>Ellmann Consulting GmbH</t>
  </si>
  <si>
    <t>Projektstart</t>
  </si>
  <si>
    <t>Unternehmensinformationen</t>
  </si>
  <si>
    <t>Firma</t>
  </si>
  <si>
    <t>Startkapital</t>
  </si>
  <si>
    <t>Formatierung</t>
  </si>
  <si>
    <t>Hard-coded Zahlen (Inputs)</t>
  </si>
  <si>
    <t>Formeln (Berechnungen)</t>
  </si>
  <si>
    <t>=A1*A2</t>
  </si>
  <si>
    <t>Links zu anderen Tabellenblättern</t>
  </si>
  <si>
    <t>='Tabellenblatt'!A1</t>
  </si>
  <si>
    <t>Links zu anderen Dokumenten</t>
  </si>
  <si>
    <t>=[Andere Excel-Tabelle]TabellenblattA1</t>
  </si>
  <si>
    <t>Links zu externen Datenquellen</t>
  </si>
  <si>
    <t>=CIQ</t>
  </si>
  <si>
    <t>powered by</t>
  </si>
  <si>
    <t>Zweck des Modells</t>
  </si>
  <si>
    <t>Umsatz | COGS</t>
  </si>
  <si>
    <t>Jahr</t>
  </si>
  <si>
    <t xml:space="preserve">1. Geschäftsjahr </t>
  </si>
  <si>
    <t xml:space="preserve">2. Geschäftsjahr </t>
  </si>
  <si>
    <t xml:space="preserve">3. Geschäftsjahr </t>
  </si>
  <si>
    <t>Monat</t>
  </si>
  <si>
    <t>Umsatzplanung</t>
  </si>
  <si>
    <t>1. GJ</t>
  </si>
  <si>
    <t>2. GJ</t>
  </si>
  <si>
    <t>3. GJ</t>
  </si>
  <si>
    <t>Direkte Kosten</t>
  </si>
  <si>
    <t>Wareneinsatz</t>
  </si>
  <si>
    <t>Fremdleistungen</t>
  </si>
  <si>
    <t>Gesamtumsatz</t>
  </si>
  <si>
    <t>HR</t>
  </si>
  <si>
    <t>Position</t>
  </si>
  <si>
    <t>Jährl. Gehalt</t>
  </si>
  <si>
    <t>Sozialv., Steuern, Benefits etc.</t>
  </si>
  <si>
    <t>Beriebliche Personalkosten</t>
  </si>
  <si>
    <t>Betriebliche Personalkosten inkl. NK</t>
  </si>
  <si>
    <t>Gesamte Personalkosten</t>
  </si>
  <si>
    <t>Unternehmerlohn</t>
  </si>
  <si>
    <t>Anzahl Mitarbeiter</t>
  </si>
  <si>
    <t># Mitarbeiter insgesamt</t>
  </si>
  <si>
    <t># Mitarbeiter vor Ort</t>
  </si>
  <si>
    <t># Reisende Mitarbeiter</t>
  </si>
  <si>
    <t># Mitarbeiter Remote</t>
  </si>
  <si>
    <t>Kommentare</t>
  </si>
  <si>
    <t>kursiv</t>
  </si>
  <si>
    <t>Anzahl der eingestellten Personen</t>
  </si>
  <si>
    <t>Wird in die Umsatz- und Ertragsvorschau übertragen</t>
  </si>
  <si>
    <t>Nur bei Einzelunternehmen; wird in die Liquiditätsplanung übertragen</t>
  </si>
  <si>
    <t>OPEX</t>
  </si>
  <si>
    <t>Miete und Mietnebenkosten</t>
  </si>
  <si>
    <t>qm je Mitarbeiter vor Ort</t>
  </si>
  <si>
    <t>qm gesamt</t>
  </si>
  <si>
    <t>Preis je qm</t>
  </si>
  <si>
    <t>Miete gesamt</t>
  </si>
  <si>
    <t>Operatives Equipment</t>
  </si>
  <si>
    <t>Durchschn. Investitionen je MA vor Ort</t>
  </si>
  <si>
    <t>Investitionen für MA vor Ort</t>
  </si>
  <si>
    <t>Durchschn. Investitionen je MA Remote</t>
  </si>
  <si>
    <t>Investitionen für MA Remote</t>
  </si>
  <si>
    <t>Durchschn. monatl. Kosten je MA [Handy, Office 365, etc.]</t>
  </si>
  <si>
    <t>Monatl. Investitionen für alle MA</t>
  </si>
  <si>
    <t>Gesamtes operatives Equipment</t>
  </si>
  <si>
    <t>Versicherungen</t>
  </si>
  <si>
    <t>Versicherungen je MA pro Monat</t>
  </si>
  <si>
    <t xml:space="preserve">Gesamte Versicherungen für MA </t>
  </si>
  <si>
    <t>Weitere Versicherungen in "Sonstige OPEX"</t>
  </si>
  <si>
    <t>Rechts- und Beratungskosten</t>
  </si>
  <si>
    <t>Steuerberatung</t>
  </si>
  <si>
    <t>Rechtsberatung</t>
  </si>
  <si>
    <t>monatlich fester Betrag oder manuell einpflegen</t>
  </si>
  <si>
    <t>Gesamte Beratungskosten</t>
  </si>
  <si>
    <t>Marketingkosten</t>
  </si>
  <si>
    <t>Agentur</t>
  </si>
  <si>
    <t>Gesamte Marketingkosten</t>
  </si>
  <si>
    <t>Reisekosten</t>
  </si>
  <si>
    <t>Reisekosten je reisenden MA je Monat</t>
  </si>
  <si>
    <t>Gesamte Reisekosten</t>
  </si>
  <si>
    <t>Sonstige operative Kosten (%)</t>
  </si>
  <si>
    <t>abhängig vom Umsatz</t>
  </si>
  <si>
    <t>CAPEX</t>
  </si>
  <si>
    <t>Kauf von Anlagevermögen</t>
  </si>
  <si>
    <t>Total CAPEX</t>
  </si>
  <si>
    <t>Abschreibungen</t>
  </si>
  <si>
    <t>Nutzungsdauer (Monate)</t>
  </si>
  <si>
    <t>Abschreibungen (neu)</t>
  </si>
  <si>
    <t>Gesamte Abschreibungen</t>
  </si>
  <si>
    <t>Anlagevermögen</t>
  </si>
  <si>
    <t>Investitionen</t>
  </si>
  <si>
    <t>Buchwert</t>
  </si>
  <si>
    <t>Fremdkapital</t>
  </si>
  <si>
    <t>Darlehen 1</t>
  </si>
  <si>
    <t>Verbleibende Laufzeit</t>
  </si>
  <si>
    <t>Verbleibender Betrag</t>
  </si>
  <si>
    <t>Annuität</t>
  </si>
  <si>
    <t xml:space="preserve">Zinssatz </t>
  </si>
  <si>
    <t>Zinszahlungen</t>
  </si>
  <si>
    <t>Tilgung</t>
  </si>
  <si>
    <t>Frühere und laufende Kredite eintragen</t>
  </si>
  <si>
    <t>Darlehen 2</t>
  </si>
  <si>
    <t>Zinssatz</t>
  </si>
  <si>
    <t>Gesamtes Fremdkapital</t>
  </si>
  <si>
    <t>Gesamtgezahlte Zinsen</t>
  </si>
  <si>
    <t>Gesamtgezahlte Tilgungen</t>
  </si>
  <si>
    <t>Eigenkapital</t>
  </si>
  <si>
    <t>Dividenden</t>
  </si>
  <si>
    <t>Gezahlte Dividenden</t>
  </si>
  <si>
    <t>Gewinnrücklage</t>
  </si>
  <si>
    <t>Kapitaleinlagen</t>
  </si>
  <si>
    <t>Annahme: Dividendenauszahlung jährlich</t>
  </si>
  <si>
    <t>Finanzierung</t>
  </si>
  <si>
    <t>Firma:</t>
  </si>
  <si>
    <t>Zahlungsziel:</t>
  </si>
  <si>
    <t>(1=gleicher Monat, 2=nächster Monat)</t>
  </si>
  <si>
    <t>1. Geschäftsjahr</t>
  </si>
  <si>
    <t>1. Monat</t>
  </si>
  <si>
    <t>2. Monat</t>
  </si>
  <si>
    <t>3. Monat</t>
  </si>
  <si>
    <t>4. Monat</t>
  </si>
  <si>
    <t>5. Monat</t>
  </si>
  <si>
    <t>6. Monat</t>
  </si>
  <si>
    <t>7. Monat</t>
  </si>
  <si>
    <t>8. Monat</t>
  </si>
  <si>
    <t>9. Monat</t>
  </si>
  <si>
    <t>10. Monat</t>
  </si>
  <si>
    <t>11. Monat</t>
  </si>
  <si>
    <t>12. Monat</t>
  </si>
  <si>
    <t>Summe</t>
  </si>
  <si>
    <t>Nettoumsatz (ohne MwSt.)</t>
  </si>
  <si>
    <t>- Wareneinsatz</t>
  </si>
  <si>
    <t>- Fremdleistungen</t>
  </si>
  <si>
    <t>= Rohertrag</t>
  </si>
  <si>
    <t>Betriebliche Kosten</t>
  </si>
  <si>
    <t>Personalkosten inkl. Nebenkosten</t>
  </si>
  <si>
    <t>+ Miete und Mietnebenkosten</t>
  </si>
  <si>
    <t>+ Operatives Equipment</t>
  </si>
  <si>
    <t>+ Versicherungen</t>
  </si>
  <si>
    <t>+ Rechts- und Beratungskosten</t>
  </si>
  <si>
    <t>+ Marketingkosten</t>
  </si>
  <si>
    <t>+ Reisekosten</t>
  </si>
  <si>
    <t>+ Sonstige Kosten</t>
  </si>
  <si>
    <t>+ Zinsen</t>
  </si>
  <si>
    <t>+ Abschreibungen</t>
  </si>
  <si>
    <t>= Summe Kosten</t>
  </si>
  <si>
    <t>= Betriebsergebnis vor Steuern</t>
  </si>
  <si>
    <t>2. Geschäftsjahr</t>
  </si>
  <si>
    <t>3. Geschäftsjahr</t>
  </si>
  <si>
    <t>Betriebsergebnis vor Steuern</t>
  </si>
  <si>
    <t>Umsatz- und Ertragsvorschau - 1. Jahr</t>
  </si>
  <si>
    <t>Umsatz- und Ertragsvorschau - 2. Jahr</t>
  </si>
  <si>
    <t>Umsatz- und Ertragsvorschau - 3. Jahr</t>
  </si>
  <si>
    <t>Kontostand Monatsanfang</t>
  </si>
  <si>
    <t>Einzahlungen</t>
  </si>
  <si>
    <t>Einzahlungen aus Umsätzen</t>
  </si>
  <si>
    <t>+ Bankdarlehen</t>
  </si>
  <si>
    <t>+ Sonstige Einzahlungen</t>
  </si>
  <si>
    <t>= Gesamte Einzahlungen</t>
  </si>
  <si>
    <t>= Verfügbare Mittel</t>
  </si>
  <si>
    <t>Auszahlungen</t>
  </si>
  <si>
    <t>+ Wareneinsatz</t>
  </si>
  <si>
    <t>+ Fremdleistungen</t>
  </si>
  <si>
    <t>+ Personalkosten inkl. Nebenkosten</t>
  </si>
  <si>
    <t>+ betriebliche Steuern</t>
  </si>
  <si>
    <t>Kapitalgesellschaft</t>
  </si>
  <si>
    <t>Hebesatz:</t>
  </si>
  <si>
    <t>+ Unternehmerlohn</t>
  </si>
  <si>
    <t>März &amp; vierteljährlich</t>
  </si>
  <si>
    <t>Februar &amp; vierteljahrlich</t>
  </si>
  <si>
    <t>+ Tilgung</t>
  </si>
  <si>
    <t>+ Dividenden</t>
  </si>
  <si>
    <t>= Gesamte Auszahlungen</t>
  </si>
  <si>
    <t>= Monatlicher Saldo</t>
  </si>
  <si>
    <t>= Kontostand Monatsende</t>
  </si>
  <si>
    <t>Kontostand</t>
  </si>
  <si>
    <t>Liquiditätsplan - 1. Jahr</t>
  </si>
  <si>
    <t>Liquiditätsplan - 2. Jahr</t>
  </si>
  <si>
    <t>Liquiditätsplan - 3. Jahr</t>
  </si>
  <si>
    <t>Kontakt</t>
  </si>
  <si>
    <t>040 2396 99771</t>
  </si>
  <si>
    <t>Lukas Ellmann</t>
  </si>
  <si>
    <t>Telefon</t>
  </si>
  <si>
    <t>Email</t>
  </si>
  <si>
    <t>contact@ellmann-consulting.com</t>
  </si>
  <si>
    <t>Beispiel Case</t>
  </si>
  <si>
    <t>In unserem Beispiel Finanzplan betrachten wir die Firma Ellmann Consulting GmbH. Der Case ist fiktiv, orientiert sich aber an der Beratungsfirma.</t>
  </si>
  <si>
    <t>Hintergrund</t>
  </si>
  <si>
    <t>Die Firma möchte einen neuen Geschäftszweig prognostizieren. Dieser besteht aus zwei Teilen:</t>
  </si>
  <si>
    <t>2. Beratung</t>
  </si>
  <si>
    <t>1. Software</t>
  </si>
  <si>
    <t>Das Finanzmodell wird nun für 2025 - 2027 aufgesetzt und soll Aufschluss über den Investitionsbedarf geben.</t>
  </si>
  <si>
    <t>Ansatz</t>
  </si>
  <si>
    <t>Wir planen den neuen Geschäftsbereich Top-Down. Das bedeutet, wir planen ausgehend von den strategischen Zielen wie zum Beispiel Umsatz oder Marktexpansion.</t>
  </si>
  <si>
    <t>Software</t>
  </si>
  <si>
    <t>Beratung</t>
  </si>
  <si>
    <t>-&gt; Jetzt mit der Planung starten!</t>
  </si>
  <si>
    <t>Annahmen</t>
  </si>
  <si>
    <t>Arbeitsblatt</t>
  </si>
  <si>
    <t>Schritte</t>
  </si>
  <si>
    <t>-&gt; Zur Umsatzplanung</t>
  </si>
  <si>
    <t>In unserem Fall, möchten wir bis 2027 einen jährlichen Umsatz in Höhe von 3 Mio. Euro mit dem Geschäftsbereich erzielen.</t>
  </si>
  <si>
    <t>Verkaufsplanung</t>
  </si>
  <si>
    <t>1. Beratungsgeschäft</t>
  </si>
  <si>
    <t>2. Software Lizenzen</t>
  </si>
  <si>
    <t>Im ersten Schritt planen wir die Verkaufszahlen. Hierbei ist wichtig, dass eine Logik für die Verkäufe implementiert und begründet wird.</t>
  </si>
  <si>
    <t>Wir verkaufen eine produktisierte Beratung. Heißt, dass wir einen Standard entwickelt haben, welchen wir für einen Festpreis an unsere Kunden verkaufen können.</t>
  </si>
  <si>
    <t>Beratungsmandat</t>
  </si>
  <si>
    <t>Silber</t>
  </si>
  <si>
    <t>Gold</t>
  </si>
  <si>
    <t>Platin</t>
  </si>
  <si>
    <t>Leadkosten</t>
  </si>
  <si>
    <t>Werbekosten</t>
  </si>
  <si>
    <t>Leads</t>
  </si>
  <si>
    <t>Conversion</t>
  </si>
  <si>
    <t>Neukunden</t>
  </si>
  <si>
    <t>mit Zeitverzug</t>
  </si>
  <si>
    <t>Achtung: Hard-coded! Die Hälfte der Neukunden startet im gleichen Monat, die andere startet im nächsten Monat.</t>
  </si>
  <si>
    <t>Neukunden auf Pakete aufgeteilt</t>
  </si>
  <si>
    <t>Umsatz</t>
  </si>
  <si>
    <t>Umsatz Beratungsgeschäft</t>
  </si>
  <si>
    <t>Achtung: Hard-coded! Kunden zahlen die Hälfte des Auftragswerts an und zwei Monate später die zweite Hälfte.</t>
  </si>
  <si>
    <t>Formeländerung</t>
  </si>
  <si>
    <t>Die Software wird in den Beratungsprojekten bei unseren Kunden eingeführt. Unsere Lizenzen sind daher abhängig von unseren Bestandskunden.</t>
  </si>
  <si>
    <t>Anzahl Lizenzen</t>
  </si>
  <si>
    <t>Durchschnittliche Anzahl</t>
  </si>
  <si>
    <t>Erfolgsquote</t>
  </si>
  <si>
    <t>Anteil der Beratungsprojekte, welche in Lizenzkäufe convertiert werden.</t>
  </si>
  <si>
    <t>Monatliche Gebühr</t>
  </si>
  <si>
    <t>Lizenzeinnahmen</t>
  </si>
  <si>
    <t>pro User</t>
  </si>
  <si>
    <t>Anzahl Lizenzen (t-3m), da Lizenzkauf-Entscheidung erst nach dem Beratungsprojekt, welches 2 Monate dauert.</t>
  </si>
  <si>
    <t>Welche Kosten fallen durch den Verkauf unserer Leistung an?</t>
  </si>
  <si>
    <t>Wir reisen zu jedem Kunden für die Implementierung an</t>
  </si>
  <si>
    <t>Design Service</t>
  </si>
  <si>
    <t>Der Abschlussbericht für den Kunden wird vor Abgabe nochmal von einer Design-Agentur überarbeitet.</t>
  </si>
  <si>
    <t>Fremdleistung (t-3m), da erst bei Abschluss des Projekts</t>
  </si>
  <si>
    <t>Cloud-Kosten</t>
  </si>
  <si>
    <t>pro User pro Monat</t>
  </si>
  <si>
    <t>-&gt; Zur Personalplanung</t>
  </si>
  <si>
    <t>Prozessfortschritt</t>
  </si>
  <si>
    <t>Position 6</t>
  </si>
  <si>
    <t>Position 7</t>
  </si>
  <si>
    <t>Position 8</t>
  </si>
  <si>
    <t>Berater/in</t>
  </si>
  <si>
    <t>Geschäftsführer/in</t>
  </si>
  <si>
    <t>Entwickler/in</t>
  </si>
  <si>
    <t>Servicemitarbeiter/in</t>
  </si>
  <si>
    <t>Büroassistenz TZ</t>
  </si>
  <si>
    <t>Übertragung</t>
  </si>
  <si>
    <t>Beratungsprojekte</t>
  </si>
  <si>
    <t>Projekte</t>
  </si>
  <si>
    <t>pro Berater pro Monat</t>
  </si>
  <si>
    <t>Benötigte Berater</t>
  </si>
  <si>
    <t>Anzahl User</t>
  </si>
  <si>
    <t>Support</t>
  </si>
  <si>
    <t>Lizenzen pro Servicemitarbeiter</t>
  </si>
  <si>
    <t>Ermittlung der Anzahl Berater</t>
  </si>
  <si>
    <t>Ermittlung der Anzahl Supportmitarbeiter</t>
  </si>
  <si>
    <t>Benötigte Supportmitarbeiter</t>
  </si>
  <si>
    <t>-&gt; Zur Betriebskosten Planung</t>
  </si>
  <si>
    <t>-&gt; Zur Investitionsplanung</t>
  </si>
  <si>
    <t>Mindestmiete</t>
  </si>
  <si>
    <t>Lohnbuchhaltung</t>
  </si>
  <si>
    <t>p. MA</t>
  </si>
  <si>
    <t>p. Monat</t>
  </si>
  <si>
    <t>Steuerberatung ist auch abhängig vom Umsatz. Rechnung: Umsatz/1000 + monatliche Gebühr</t>
  </si>
  <si>
    <t>p. Jahr</t>
  </si>
  <si>
    <t>Anlage 2</t>
  </si>
  <si>
    <t>Anlage 3</t>
  </si>
  <si>
    <t>Anlage 4</t>
  </si>
  <si>
    <t>Anlage 5</t>
  </si>
  <si>
    <t>-&gt; Zur Finanzierungsplanung</t>
  </si>
  <si>
    <t>Rentabilität</t>
  </si>
  <si>
    <t>Liquidität</t>
  </si>
  <si>
    <t>Final Check</t>
  </si>
  <si>
    <t>Für eine handelsübliche Software sieht die Software Afa Tabelle eine voraussichtliche Nutzungsdauer von drei Jahren vor. Handelt es sich um eine spezielle programmierte Software, so hast du nach der Afa Tabelle für Software für die Abschreibung eine Dauer von fünf Jahren.</t>
  </si>
  <si>
    <t>VORSICHT: Formeln funktionieren nicht für Abschreibungen &lt;3 Jahre!</t>
  </si>
  <si>
    <t>-&gt; Zur Rentabilität</t>
  </si>
  <si>
    <t>-&gt; Zum Output</t>
  </si>
  <si>
    <t>Status Quo</t>
  </si>
  <si>
    <t>Wir haben nun die Logik unseres Modells erstellt. Im Beispiel Case ist ein Großteil der Zahlen abhängig vom Verkauf im Beratungsgeschäft.</t>
  </si>
  <si>
    <t>Diese Vorgehensweise hat den Vorteil, dass wir nun mit einer einzigen Variable "Werbekosten" herumspielen können.</t>
  </si>
  <si>
    <t>Für die Ellmann Consulting GmbH ist nun wichtig, dass das Geschäft rentabel ist und sie muss sich über die Finanzierung Gedanken machen.</t>
  </si>
  <si>
    <t/>
  </si>
  <si>
    <t>- Wie viel können/wollen wir aus eigener Kraft vorfinanzieren?</t>
  </si>
  <si>
    <t>- Ist unsere Firma kreditwürdig? Falls ja, wie viel Kredit können/wollen wir aufnehmen?</t>
  </si>
  <si>
    <t>- Ist unser Wachstum attrativ für einen Investor? Falls ja, wie viel Geld wollen wir aufnehmen?</t>
  </si>
  <si>
    <t>Als Geschäftsführer/in stellt man sich nun unter anderem die Fragen:</t>
  </si>
  <si>
    <t>Rentabilitätsplanung</t>
  </si>
  <si>
    <t>Umsatzerlöse</t>
  </si>
  <si>
    <t>Gesamtleistung</t>
  </si>
  <si>
    <t>Rohertrag</t>
  </si>
  <si>
    <t>Sonstige betriebliche Erlöse</t>
  </si>
  <si>
    <t>Bestandsveränderungen FE/UE</t>
  </si>
  <si>
    <t>Aktivierte Eigenleistungen</t>
  </si>
  <si>
    <t>Betrieblicher Rohertrag</t>
  </si>
  <si>
    <t>Sonstige Kosten</t>
  </si>
  <si>
    <t>Betriebsergebnis vor Zinsen/Abschreibung/Steuern</t>
  </si>
  <si>
    <t>Abschreibung</t>
  </si>
  <si>
    <t>Zinsaufwand</t>
  </si>
  <si>
    <t>Steuern auf Einkommen / Ertrag</t>
  </si>
  <si>
    <t>Jahresüberschuss/-verlust</t>
  </si>
  <si>
    <t>1. Miete und Mietnebenkosten</t>
  </si>
  <si>
    <t>2. Operatives Equipment</t>
  </si>
  <si>
    <t>Gesamte Mietkosten</t>
  </si>
  <si>
    <t>Gesamtes Operatives Equipment</t>
  </si>
  <si>
    <t>Gesamte Versicherungskosten</t>
  </si>
  <si>
    <t>3. Versicherungen</t>
  </si>
  <si>
    <t>4. Rechts- und Beratungskosten</t>
  </si>
  <si>
    <t>5. Werbekosten</t>
  </si>
  <si>
    <t>Gesamte Werbekosten</t>
  </si>
  <si>
    <t>6. Reisekosten</t>
  </si>
  <si>
    <t>7. Sonstige Kosten</t>
  </si>
  <si>
    <t>Gesamte Sonstige Kosten</t>
  </si>
  <si>
    <t>Gesamte Abschreibung</t>
  </si>
  <si>
    <t>Gesamte Zinsen</t>
  </si>
  <si>
    <t>Druckversion</t>
  </si>
  <si>
    <t>in % der Gesamtleistung</t>
  </si>
  <si>
    <t>Steuern</t>
  </si>
  <si>
    <t>-&gt; Zur Liquiditätsplanung</t>
  </si>
  <si>
    <t>-&gt; Zur monatlichen Ansicht</t>
  </si>
  <si>
    <t>-&gt; Zum Final Check</t>
  </si>
  <si>
    <t>Im finalen Check haben wir noch einmal die Möglichkeit die Rentabilität und den Kontostand zu überprüfen.</t>
  </si>
  <si>
    <t>Wenn wir mit den Zahlen zufrieden sind, ist die Planung abgeschlossen.</t>
  </si>
  <si>
    <t>Anwendung</t>
  </si>
  <si>
    <t>OPEX = "Operational Expenditures" / Betriebskosten</t>
  </si>
  <si>
    <t>CAPEX = "Capital Expenditures" / Investionen</t>
  </si>
  <si>
    <t>Das Modell besteht aus zwei Teilen:
1. Annahmen - hier werden die Planungszahlen berechnet.
2. Output - hier werden die Planungszahlen dargestellt.
Nutze die Buttons am Ende eines jeden Arbeitsblattes um zielführend durch die Tabelle zu navigieren.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</si>
</sst>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 #,##0.00\ [$€-407]_-;\-* #,##0.00\ [$€-407]_-;_-* &quot;-&quot;??\ [$€-407]_-;_-@_-"/>
    <numFmt numFmtId="165" formatCode="_-* #,##0\ [$€-407]_-;\-* #,##0\ [$€-407]_-;_-* &quot;-&quot;??\ [$€-407]_-;_-@_-"/>
    <numFmt numFmtId="166" formatCode="0.0%"/>
    <numFmt numFmtId="167" formatCode="[$-407]mmmm\ yy;@"/>
    <numFmt numFmtId="168" formatCode="_-* #,##0\ &quot;€&quot;_-;\-* #,##0\ &quot;€&quot;_-;_-* &quot;-&quot;??\ &quot;€&quot;_-;_-@_-"/>
  </numFmts>
  <fonts count="44">
    <font>
      <sz val="11"/>
      <color theme="1"/>
      <name val="Open Sans"/>
      <family val="2"/>
    </font>
    <font>
      <sz val="11"/>
      <color theme="1"/>
      <name val="Open Sans"/>
      <family val="2"/>
    </font>
    <font>
      <sz val="11"/>
      <color theme="1"/>
      <name val="Aptos Narrow"/>
      <family val="2"/>
      <scheme val="minor"/>
    </font>
    <font>
      <b/>
      <sz val="13"/>
      <name val="Aptos Narrow"/>
      <family val="2"/>
      <scheme val="minor"/>
    </font>
    <font>
      <b/>
      <sz val="22"/>
      <name val="Rufina"/>
    </font>
    <font>
      <b/>
      <sz val="16"/>
      <name val="Rufina"/>
    </font>
    <font>
      <sz val="11"/>
      <color theme="1"/>
      <name val="PT Serif"/>
      <family val="1"/>
    </font>
    <font>
      <sz val="11"/>
      <color rgb="FF0070C0"/>
      <name val="PT Serif"/>
      <family val="1"/>
    </font>
    <font>
      <sz val="11"/>
      <color rgb="FF92D050"/>
      <name val="PT Serif"/>
      <family val="1"/>
    </font>
    <font>
      <sz val="11"/>
      <color rgb="FFFF0000"/>
      <name val="PT Serif"/>
      <family val="1"/>
    </font>
    <font>
      <sz val="11"/>
      <color rgb="FFC00000"/>
      <name val="PT Serif"/>
      <family val="1"/>
    </font>
    <font>
      <b/>
      <sz val="12"/>
      <color theme="1"/>
      <name val="PT Serif"/>
      <family val="1"/>
    </font>
    <font>
      <b/>
      <sz val="11"/>
      <color theme="1"/>
      <name val="PT Serif"/>
      <family val="1"/>
    </font>
    <font>
      <b/>
      <sz val="12"/>
      <color rgb="FF92D050"/>
      <name val="PT Serif"/>
      <family val="1"/>
    </font>
    <font>
      <b/>
      <sz val="11"/>
      <color rgb="FF92D050"/>
      <name val="PT Serif"/>
      <family val="1"/>
    </font>
    <font>
      <i/>
      <sz val="11"/>
      <color theme="8" tint="-0.499984740745262"/>
      <name val="PT Serif"/>
      <family val="1"/>
    </font>
    <font>
      <sz val="11"/>
      <color theme="8" tint="-0.499984740745262"/>
      <name val="PT Serif"/>
      <family val="1"/>
    </font>
    <font>
      <i/>
      <sz val="11"/>
      <color theme="1"/>
      <name val="PT Serif"/>
      <family val="1"/>
    </font>
    <font>
      <sz val="8"/>
      <name val="Open Sans"/>
      <family val="2"/>
    </font>
    <font>
      <b/>
      <sz val="11"/>
      <color rgb="FF0070C0"/>
      <name val="PT Serif"/>
      <family val="1"/>
    </font>
    <font>
      <sz val="12"/>
      <color theme="1"/>
      <name val="PT Serif"/>
      <family val="1"/>
    </font>
    <font>
      <sz val="10"/>
      <name val="PT Serif"/>
      <family val="1"/>
    </font>
    <font>
      <u/>
      <sz val="10"/>
      <name val="PT Serif"/>
      <family val="1"/>
    </font>
    <font>
      <b/>
      <sz val="10"/>
      <name val="PT Serif"/>
      <family val="1"/>
    </font>
    <font>
      <sz val="18"/>
      <color theme="1"/>
      <name val="PT Serif"/>
      <family val="1"/>
    </font>
    <font>
      <i/>
      <sz val="9"/>
      <color theme="1"/>
      <name val="PT Serif"/>
      <family val="1"/>
    </font>
    <font>
      <b/>
      <sz val="18"/>
      <color theme="1"/>
      <name val="Rufina"/>
    </font>
    <font>
      <sz val="9"/>
      <color theme="1"/>
      <name val="PT Serif"/>
      <family val="1"/>
    </font>
    <font>
      <b/>
      <sz val="22"/>
      <name val="PT Serif"/>
      <family val="1"/>
    </font>
    <font>
      <b/>
      <sz val="16"/>
      <name val="PT Serif"/>
      <family val="1"/>
    </font>
    <font>
      <u/>
      <sz val="11"/>
      <color theme="10"/>
      <name val="Open Sans"/>
      <family val="2"/>
    </font>
    <font>
      <sz val="11"/>
      <color theme="0"/>
      <name val="PT Serif"/>
      <family val="1"/>
    </font>
    <font>
      <b/>
      <sz val="12"/>
      <color theme="0"/>
      <name val="PT Serif"/>
      <family val="1"/>
    </font>
    <font>
      <sz val="11"/>
      <color rgb="FF1B75BB"/>
      <name val="PT Serif"/>
      <family val="1"/>
    </font>
    <font>
      <sz val="11"/>
      <name val="PT Serif"/>
      <family val="1"/>
    </font>
    <font>
      <u/>
      <sz val="11"/>
      <name val="PT Serif"/>
      <family val="1"/>
    </font>
    <font>
      <b/>
      <sz val="11"/>
      <name val="PT Serif"/>
      <family val="1"/>
    </font>
    <font>
      <i/>
      <sz val="11"/>
      <name val="PT Serif"/>
      <family val="1"/>
    </font>
    <font>
      <sz val="12"/>
      <color rgb="FF92D050"/>
      <name val="PT Serif"/>
      <family val="1"/>
    </font>
    <font>
      <sz val="12"/>
      <color rgb="FF0070C0"/>
      <name val="PT Serif"/>
      <family val="1"/>
    </font>
    <font>
      <sz val="12"/>
      <name val="PT Serif"/>
      <family val="1"/>
    </font>
    <font>
      <sz val="10"/>
      <color rgb="FF0070C0"/>
      <name val="PT Serif"/>
      <family val="1"/>
    </font>
    <font>
      <u val="double"/>
      <sz val="11"/>
      <color theme="1"/>
      <name val="PT Serif"/>
      <family val="1"/>
    </font>
    <font>
      <sz val="10"/>
      <color rgb="FF92D050"/>
      <name val="PT Serif"/>
      <family val="1"/>
    </font>
  </fonts>
  <fills count="10">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rgb="FFFFC000"/>
        <bgColor indexed="64"/>
      </patternFill>
    </fill>
    <fill>
      <patternFill patternType="solid">
        <fgColor rgb="FF1B75BB"/>
        <bgColor indexed="64"/>
      </patternFill>
    </fill>
    <fill>
      <patternFill patternType="solid">
        <fgColor theme="0" tint="-0.34998626667073579"/>
        <bgColor indexed="64"/>
      </patternFill>
    </fill>
    <fill>
      <patternFill patternType="solid">
        <fgColor rgb="FF92D050"/>
        <bgColor indexed="64"/>
      </patternFill>
    </fill>
    <fill>
      <patternFill patternType="solid">
        <fgColor rgb="FFC0E6F5"/>
        <bgColor indexed="64"/>
      </patternFill>
    </fill>
    <fill>
      <patternFill patternType="solid">
        <fgColor theme="3" tint="0.8999908444471571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0" fontId="3" fillId="0" borderId="0" applyNumberFormat="0" applyAlignment="0" applyProtection="0"/>
    <xf numFmtId="0" fontId="30" fillId="0" borderId="0" applyNumberFormat="0" applyFill="0" applyBorder="0" applyAlignment="0" applyProtection="0"/>
  </cellStyleXfs>
  <cellXfs count="140">
    <xf numFmtId="0" fontId="0" fillId="0" borderId="0" xfId="0"/>
    <xf numFmtId="0" fontId="4" fillId="0" borderId="0" xfId="3" applyFont="1" applyAlignment="1">
      <alignment horizontal="left"/>
    </xf>
    <xf numFmtId="0" fontId="5" fillId="0" borderId="0" xfId="4" applyFont="1"/>
    <xf numFmtId="0" fontId="6" fillId="0" borderId="1" xfId="3" applyFont="1" applyBorder="1"/>
    <xf numFmtId="0" fontId="7" fillId="0" borderId="1" xfId="3" applyFont="1" applyBorder="1" applyAlignment="1">
      <alignment horizontal="right"/>
    </xf>
    <xf numFmtId="14" fontId="7" fillId="0" borderId="1" xfId="3" applyNumberFormat="1" applyFont="1" applyBorder="1"/>
    <xf numFmtId="164" fontId="7" fillId="0" borderId="1" xfId="3" applyNumberFormat="1" applyFont="1" applyBorder="1"/>
    <xf numFmtId="0" fontId="7" fillId="0" borderId="1" xfId="3" applyFont="1" applyBorder="1"/>
    <xf numFmtId="14" fontId="6" fillId="0" borderId="1" xfId="3" quotePrefix="1" applyNumberFormat="1" applyFont="1" applyBorder="1" applyAlignment="1">
      <alignment horizontal="right"/>
    </xf>
    <xf numFmtId="14" fontId="10" fillId="0" borderId="1" xfId="3" quotePrefix="1" applyNumberFormat="1" applyFont="1" applyBorder="1" applyAlignment="1">
      <alignment horizontal="right"/>
    </xf>
    <xf numFmtId="0" fontId="9" fillId="0" borderId="1" xfId="3" quotePrefix="1" applyFont="1" applyBorder="1" applyAlignment="1">
      <alignment horizontal="right"/>
    </xf>
    <xf numFmtId="14" fontId="8" fillId="0" borderId="1" xfId="3" quotePrefix="1" applyNumberFormat="1" applyFont="1" applyBorder="1" applyAlignment="1">
      <alignment horizontal="right"/>
    </xf>
    <xf numFmtId="0" fontId="11" fillId="2" borderId="0" xfId="0" applyFont="1" applyFill="1"/>
    <xf numFmtId="0" fontId="6" fillId="0" borderId="0" xfId="0" applyFont="1"/>
    <xf numFmtId="0" fontId="12" fillId="0" borderId="1" xfId="0" applyFont="1" applyBorder="1"/>
    <xf numFmtId="0" fontId="11" fillId="0" borderId="0" xfId="0" applyFont="1"/>
    <xf numFmtId="17" fontId="6" fillId="0" borderId="1" xfId="0" applyNumberFormat="1" applyFont="1" applyBorder="1"/>
    <xf numFmtId="0" fontId="12" fillId="0" borderId="0" xfId="0" applyFont="1"/>
    <xf numFmtId="0" fontId="6" fillId="0" borderId="1" xfId="0" applyFont="1" applyBorder="1"/>
    <xf numFmtId="0" fontId="12" fillId="2" borderId="0" xfId="0" applyFont="1" applyFill="1"/>
    <xf numFmtId="0" fontId="6" fillId="2" borderId="0" xfId="0" applyFont="1" applyFill="1"/>
    <xf numFmtId="164" fontId="6" fillId="0" borderId="1" xfId="0" applyNumberFormat="1" applyFont="1" applyBorder="1"/>
    <xf numFmtId="164" fontId="12" fillId="0" borderId="1" xfId="0" applyNumberFormat="1" applyFont="1" applyBorder="1"/>
    <xf numFmtId="0" fontId="13" fillId="0" borderId="0" xfId="0" applyFont="1"/>
    <xf numFmtId="17" fontId="14" fillId="0" borderId="1" xfId="0" applyNumberFormat="1" applyFont="1" applyBorder="1"/>
    <xf numFmtId="165" fontId="12" fillId="0" borderId="1" xfId="0" applyNumberFormat="1" applyFont="1" applyBorder="1"/>
    <xf numFmtId="0" fontId="15" fillId="0" borderId="0" xfId="0" applyFont="1"/>
    <xf numFmtId="0" fontId="16" fillId="0" borderId="5" xfId="0" applyFont="1" applyBorder="1" applyAlignment="1">
      <alignment vertical="top" wrapText="1"/>
    </xf>
    <xf numFmtId="14" fontId="17" fillId="0" borderId="1" xfId="3" quotePrefix="1" applyNumberFormat="1" applyFont="1" applyBorder="1" applyAlignment="1">
      <alignment horizontal="right"/>
    </xf>
    <xf numFmtId="164" fontId="6" fillId="0" borderId="1" xfId="1" applyNumberFormat="1" applyFont="1" applyFill="1" applyBorder="1"/>
    <xf numFmtId="164" fontId="7" fillId="0" borderId="1" xfId="0" applyNumberFormat="1" applyFont="1" applyBorder="1"/>
    <xf numFmtId="9" fontId="7" fillId="0" borderId="1" xfId="2" applyFont="1" applyFill="1" applyBorder="1"/>
    <xf numFmtId="9" fontId="7" fillId="0" borderId="1" xfId="2" applyFont="1" applyFill="1" applyBorder="1" applyAlignment="1">
      <alignment vertical="top" wrapText="1"/>
    </xf>
    <xf numFmtId="165" fontId="19" fillId="0" borderId="1" xfId="0" applyNumberFormat="1" applyFont="1" applyBorder="1"/>
    <xf numFmtId="0" fontId="7" fillId="0" borderId="1" xfId="0" applyFont="1" applyBorder="1"/>
    <xf numFmtId="0" fontId="20" fillId="0" borderId="3" xfId="0" quotePrefix="1" applyFont="1" applyBorder="1"/>
    <xf numFmtId="164" fontId="6" fillId="0" borderId="0" xfId="0" applyNumberFormat="1" applyFont="1"/>
    <xf numFmtId="17" fontId="6" fillId="0" borderId="3" xfId="0" applyNumberFormat="1" applyFont="1" applyBorder="1"/>
    <xf numFmtId="0" fontId="21" fillId="0" borderId="0" xfId="0" applyFont="1"/>
    <xf numFmtId="3" fontId="21" fillId="0" borderId="0" xfId="0" applyNumberFormat="1" applyFont="1"/>
    <xf numFmtId="0" fontId="22" fillId="0" borderId="0" xfId="0" applyFont="1"/>
    <xf numFmtId="0" fontId="23" fillId="0" borderId="1" xfId="0" applyFont="1" applyBorder="1"/>
    <xf numFmtId="164" fontId="21" fillId="0" borderId="1" xfId="0" applyNumberFormat="1" applyFont="1" applyBorder="1"/>
    <xf numFmtId="0" fontId="21" fillId="0" borderId="1" xfId="0" applyFont="1" applyBorder="1"/>
    <xf numFmtId="10" fontId="21" fillId="0" borderId="0" xfId="2" applyNumberFormat="1" applyFont="1" applyFill="1" applyBorder="1"/>
    <xf numFmtId="166" fontId="21" fillId="0" borderId="1" xfId="2" applyNumberFormat="1" applyFont="1" applyBorder="1"/>
    <xf numFmtId="10" fontId="21" fillId="0" borderId="1" xfId="2" applyNumberFormat="1" applyFont="1" applyFill="1" applyBorder="1"/>
    <xf numFmtId="164" fontId="21" fillId="0" borderId="2" xfId="0" applyNumberFormat="1" applyFont="1" applyBorder="1"/>
    <xf numFmtId="0" fontId="24" fillId="0" borderId="0" xfId="0" applyFont="1"/>
    <xf numFmtId="0" fontId="20" fillId="0" borderId="0" xfId="0" applyFont="1"/>
    <xf numFmtId="0" fontId="11" fillId="0" borderId="1" xfId="0" applyFont="1" applyBorder="1" applyAlignment="1">
      <alignment horizontal="center"/>
    </xf>
    <xf numFmtId="167" fontId="20" fillId="0" borderId="1" xfId="0" applyNumberFormat="1" applyFont="1" applyBorder="1" applyAlignment="1">
      <alignment horizontal="center"/>
    </xf>
    <xf numFmtId="0" fontId="20" fillId="0" borderId="1" xfId="0" applyFont="1" applyBorder="1"/>
    <xf numFmtId="3" fontId="20" fillId="0" borderId="1" xfId="0" applyNumberFormat="1" applyFont="1" applyBorder="1" applyAlignment="1">
      <alignment horizontal="center"/>
    </xf>
    <xf numFmtId="3" fontId="20" fillId="3" borderId="1" xfId="0" applyNumberFormat="1" applyFont="1" applyFill="1" applyBorder="1" applyAlignment="1">
      <alignment horizontal="center"/>
    </xf>
    <xf numFmtId="0" fontId="20" fillId="0" borderId="1" xfId="0" quotePrefix="1" applyFont="1" applyBorder="1"/>
    <xf numFmtId="0" fontId="11" fillId="0" borderId="1" xfId="0" quotePrefix="1" applyFont="1" applyBorder="1"/>
    <xf numFmtId="3" fontId="20" fillId="0" borderId="0" xfId="0" applyNumberFormat="1" applyFont="1"/>
    <xf numFmtId="0" fontId="11" fillId="2" borderId="1" xfId="0" applyFont="1" applyFill="1" applyBorder="1"/>
    <xf numFmtId="3" fontId="20" fillId="2" borderId="1" xfId="0" applyNumberFormat="1" applyFont="1" applyFill="1" applyBorder="1"/>
    <xf numFmtId="1" fontId="20" fillId="0" borderId="0" xfId="0" applyNumberFormat="1" applyFont="1"/>
    <xf numFmtId="0" fontId="11" fillId="0" borderId="0" xfId="0" applyFont="1" applyAlignment="1">
      <alignment horizontal="center" vertical="center"/>
    </xf>
    <xf numFmtId="1" fontId="20" fillId="0" borderId="0" xfId="0" applyNumberFormat="1" applyFont="1" applyAlignment="1">
      <alignment horizontal="center"/>
    </xf>
    <xf numFmtId="9" fontId="20" fillId="4" borderId="1" xfId="2" applyFont="1" applyFill="1" applyBorder="1"/>
    <xf numFmtId="0" fontId="25" fillId="0" borderId="0" xfId="0" applyFont="1"/>
    <xf numFmtId="9" fontId="20" fillId="0" borderId="1" xfId="2" applyFont="1" applyFill="1" applyBorder="1"/>
    <xf numFmtId="0" fontId="26" fillId="0" borderId="0" xfId="0" applyFont="1"/>
    <xf numFmtId="0" fontId="6" fillId="0" borderId="0" xfId="3" applyFont="1"/>
    <xf numFmtId="0" fontId="27" fillId="0" borderId="0" xfId="3" applyFont="1"/>
    <xf numFmtId="0" fontId="28" fillId="0" borderId="0" xfId="3" applyFont="1" applyAlignment="1">
      <alignment horizontal="left"/>
    </xf>
    <xf numFmtId="0" fontId="29" fillId="0" borderId="0" xfId="4" applyFont="1"/>
    <xf numFmtId="0" fontId="7" fillId="0" borderId="1" xfId="3" quotePrefix="1" applyFont="1" applyBorder="1" applyAlignment="1">
      <alignment horizontal="right"/>
    </xf>
    <xf numFmtId="0" fontId="7" fillId="0" borderId="1" xfId="5" applyFont="1" applyBorder="1" applyAlignment="1">
      <alignment horizontal="right"/>
    </xf>
    <xf numFmtId="0" fontId="32" fillId="5" borderId="0" xfId="5" quotePrefix="1" applyFont="1" applyFill="1" applyAlignment="1">
      <alignment horizontal="center" vertical="center"/>
    </xf>
    <xf numFmtId="0" fontId="6" fillId="5" borderId="0" xfId="0" applyFont="1" applyFill="1"/>
    <xf numFmtId="0" fontId="31" fillId="5" borderId="0" xfId="0" applyFont="1" applyFill="1"/>
    <xf numFmtId="0" fontId="31" fillId="5" borderId="0" xfId="0" applyFont="1" applyFill="1" applyAlignment="1">
      <alignment horizontal="center"/>
    </xf>
    <xf numFmtId="0" fontId="6" fillId="3" borderId="0" xfId="0" applyFont="1" applyFill="1"/>
    <xf numFmtId="0" fontId="17" fillId="0" borderId="0" xfId="0" applyFont="1"/>
    <xf numFmtId="0" fontId="6" fillId="0" borderId="3" xfId="0" applyFont="1" applyBorder="1"/>
    <xf numFmtId="0" fontId="6" fillId="0" borderId="4" xfId="0" applyFont="1" applyBorder="1"/>
    <xf numFmtId="164" fontId="33" fillId="0" borderId="1" xfId="0" applyNumberFormat="1" applyFont="1" applyBorder="1"/>
    <xf numFmtId="9" fontId="33" fillId="0" borderId="1" xfId="0" applyNumberFormat="1" applyFont="1" applyBorder="1"/>
    <xf numFmtId="0" fontId="6" fillId="6" borderId="0" xfId="0" applyFont="1" applyFill="1"/>
    <xf numFmtId="165" fontId="6" fillId="0" borderId="1" xfId="0" applyNumberFormat="1" applyFont="1" applyBorder="1"/>
    <xf numFmtId="0" fontId="31" fillId="7" borderId="0" xfId="0" applyFont="1" applyFill="1"/>
    <xf numFmtId="0" fontId="12" fillId="2" borderId="5" xfId="0" applyFont="1" applyFill="1" applyBorder="1"/>
    <xf numFmtId="0" fontId="7" fillId="0" borderId="1" xfId="0" applyFont="1" applyBorder="1" applyAlignment="1">
      <alignment horizontal="center"/>
    </xf>
    <xf numFmtId="0" fontId="34" fillId="0" borderId="1" xfId="0" applyFont="1" applyBorder="1"/>
    <xf numFmtId="0" fontId="8" fillId="0" borderId="1" xfId="0" applyFont="1" applyBorder="1"/>
    <xf numFmtId="165" fontId="8" fillId="0" borderId="1" xfId="0" applyNumberFormat="1" applyFont="1" applyBorder="1"/>
    <xf numFmtId="0" fontId="8" fillId="0" borderId="0" xfId="0" applyFont="1"/>
    <xf numFmtId="10" fontId="7" fillId="0" borderId="1" xfId="2" applyNumberFormat="1" applyFont="1" applyFill="1" applyBorder="1"/>
    <xf numFmtId="0" fontId="14" fillId="0" borderId="0" xfId="0" applyFont="1"/>
    <xf numFmtId="0" fontId="34" fillId="0" borderId="0" xfId="0" applyFont="1"/>
    <xf numFmtId="3" fontId="34" fillId="0" borderId="0" xfId="0" applyNumberFormat="1" applyFont="1"/>
    <xf numFmtId="0" fontId="35" fillId="0" borderId="0" xfId="0" applyFont="1"/>
    <xf numFmtId="0" fontId="36" fillId="0" borderId="0" xfId="0" applyFont="1"/>
    <xf numFmtId="0" fontId="36" fillId="0" borderId="1" xfId="0" applyFont="1" applyBorder="1"/>
    <xf numFmtId="164" fontId="34" fillId="0" borderId="1" xfId="0" applyNumberFormat="1" applyFont="1" applyBorder="1"/>
    <xf numFmtId="0" fontId="34" fillId="0" borderId="0" xfId="0" applyFont="1" applyAlignment="1">
      <alignment horizontal="center"/>
    </xf>
    <xf numFmtId="0" fontId="37" fillId="0" borderId="0" xfId="0" applyFont="1" applyAlignment="1">
      <alignment horizontal="left"/>
    </xf>
    <xf numFmtId="0" fontId="38" fillId="0" borderId="0" xfId="0" applyFont="1"/>
    <xf numFmtId="0" fontId="39" fillId="0" borderId="0" xfId="0" applyFont="1" applyAlignment="1">
      <alignment horizontal="center"/>
    </xf>
    <xf numFmtId="3" fontId="40" fillId="0" borderId="1" xfId="0" applyNumberFormat="1" applyFont="1" applyBorder="1" applyAlignment="1">
      <alignment horizontal="center"/>
    </xf>
    <xf numFmtId="9" fontId="39" fillId="0" borderId="1" xfId="2" applyFont="1" applyFill="1" applyBorder="1"/>
    <xf numFmtId="167" fontId="14" fillId="0" borderId="1" xfId="0" applyNumberFormat="1" applyFont="1" applyBorder="1" applyAlignment="1">
      <alignment horizontal="center"/>
    </xf>
    <xf numFmtId="0" fontId="6" fillId="0" borderId="0" xfId="0" quotePrefix="1" applyFont="1"/>
    <xf numFmtId="15" fontId="6" fillId="0" borderId="0" xfId="0" quotePrefix="1" applyNumberFormat="1" applyFont="1"/>
    <xf numFmtId="0" fontId="6" fillId="8" borderId="0" xfId="0" applyFont="1" applyFill="1"/>
    <xf numFmtId="0" fontId="6" fillId="8" borderId="7" xfId="0" applyFont="1" applyFill="1" applyBorder="1"/>
    <xf numFmtId="0" fontId="6" fillId="8" borderId="6" xfId="0" applyFont="1" applyFill="1" applyBorder="1"/>
    <xf numFmtId="0" fontId="6" fillId="8" borderId="8" xfId="0" applyFont="1" applyFill="1" applyBorder="1"/>
    <xf numFmtId="168" fontId="6" fillId="8" borderId="0" xfId="1" applyNumberFormat="1" applyFont="1" applyFill="1"/>
    <xf numFmtId="168" fontId="6" fillId="8" borderId="6" xfId="0" applyNumberFormat="1" applyFont="1" applyFill="1" applyBorder="1"/>
    <xf numFmtId="168" fontId="7" fillId="8" borderId="0" xfId="1" applyNumberFormat="1" applyFont="1" applyFill="1"/>
    <xf numFmtId="0" fontId="7" fillId="0" borderId="0" xfId="0" applyFont="1" applyAlignment="1">
      <alignment horizontal="center"/>
    </xf>
    <xf numFmtId="164" fontId="12" fillId="0" borderId="0" xfId="0" applyNumberFormat="1" applyFont="1"/>
    <xf numFmtId="168" fontId="6" fillId="8" borderId="8" xfId="0" applyNumberFormat="1" applyFont="1" applyFill="1" applyBorder="1"/>
    <xf numFmtId="0" fontId="23" fillId="0" borderId="0" xfId="0" applyFont="1"/>
    <xf numFmtId="0" fontId="41" fillId="0" borderId="1" xfId="0" applyFont="1" applyBorder="1"/>
    <xf numFmtId="164" fontId="41" fillId="0" borderId="1" xfId="0" applyNumberFormat="1" applyFont="1" applyBorder="1"/>
    <xf numFmtId="166" fontId="41" fillId="0" borderId="1" xfId="2" applyNumberFormat="1" applyFont="1" applyFill="1" applyBorder="1"/>
    <xf numFmtId="0" fontId="42" fillId="0" borderId="0" xfId="0" applyFont="1"/>
    <xf numFmtId="10" fontId="6" fillId="8" borderId="0" xfId="2" applyNumberFormat="1" applyFont="1" applyFill="1"/>
    <xf numFmtId="0" fontId="6" fillId="9" borderId="0" xfId="0" applyFont="1" applyFill="1"/>
    <xf numFmtId="10" fontId="6" fillId="9" borderId="0" xfId="2" applyNumberFormat="1" applyFont="1" applyFill="1"/>
    <xf numFmtId="0" fontId="35" fillId="0" borderId="0" xfId="0" applyFont="1" applyAlignment="1">
      <alignment horizontal="right"/>
    </xf>
    <xf numFmtId="10" fontId="41" fillId="0" borderId="1" xfId="2" applyNumberFormat="1" applyFont="1" applyFill="1" applyBorder="1"/>
    <xf numFmtId="164" fontId="43" fillId="0" borderId="2" xfId="0" applyNumberFormat="1" applyFont="1" applyBorder="1"/>
    <xf numFmtId="167" fontId="20" fillId="0" borderId="0" xfId="0" applyNumberFormat="1" applyFont="1" applyAlignment="1">
      <alignment horizontal="center"/>
    </xf>
    <xf numFmtId="3" fontId="6" fillId="0" borderId="0" xfId="0" applyNumberFormat="1" applyFont="1"/>
    <xf numFmtId="0" fontId="6" fillId="0" borderId="1" xfId="3" applyFont="1" applyBorder="1" applyAlignment="1">
      <alignment horizontal="left" vertical="top" wrapText="1"/>
    </xf>
    <xf numFmtId="0" fontId="32" fillId="5" borderId="0" xfId="5" quotePrefix="1" applyFont="1" applyFill="1" applyAlignment="1">
      <alignment horizontal="center" vertical="center"/>
    </xf>
    <xf numFmtId="0" fontId="12" fillId="2" borderId="1" xfId="0" applyFont="1" applyFill="1" applyBorder="1" applyAlignment="1">
      <alignment horizontal="center"/>
    </xf>
    <xf numFmtId="0" fontId="12" fillId="2" borderId="3" xfId="0" applyFont="1" applyFill="1" applyBorder="1" applyAlignment="1">
      <alignment horizontal="center"/>
    </xf>
    <xf numFmtId="0" fontId="12" fillId="2" borderId="6" xfId="0" applyFont="1" applyFill="1" applyBorder="1" applyAlignment="1">
      <alignment horizontal="center"/>
    </xf>
    <xf numFmtId="0" fontId="12" fillId="2" borderId="4" xfId="0" applyFont="1" applyFill="1" applyBorder="1" applyAlignment="1">
      <alignment horizontal="center"/>
    </xf>
    <xf numFmtId="0" fontId="11" fillId="0" borderId="1" xfId="0" applyFont="1" applyBorder="1" applyAlignment="1">
      <alignment horizontal="center" vertical="center"/>
    </xf>
    <xf numFmtId="0" fontId="20" fillId="0" borderId="7" xfId="0" applyFont="1" applyBorder="1" applyAlignment="1">
      <alignment horizontal="center"/>
    </xf>
  </cellXfs>
  <cellStyles count="6">
    <cellStyle name="Heading 1 2" xfId="4" xr:uid="{9318F2E7-2F22-4827-86B6-DBCEA382BBB1}"/>
    <cellStyle name="Link" xfId="5" builtinId="8"/>
    <cellStyle name="Normal 3" xfId="3" xr:uid="{CAE7D213-1B44-4889-9E9A-6F206B306D87}"/>
    <cellStyle name="Prozent" xfId="2" builtinId="5"/>
    <cellStyle name="Standard" xfId="0" builtinId="0"/>
    <cellStyle name="Währung" xfId="1" builtinId="4"/>
  </cellStyles>
  <dxfs count="3">
    <dxf>
      <font>
        <strike val="0"/>
      </font>
      <fill>
        <patternFill patternType="none">
          <bgColor auto="1"/>
        </patternFill>
      </fill>
    </dxf>
    <dxf>
      <font>
        <strike val="0"/>
      </font>
      <fill>
        <patternFill patternType="none">
          <bgColor auto="1"/>
        </patternFill>
      </fill>
    </dxf>
    <dxf>
      <font>
        <strike val="0"/>
      </font>
      <fill>
        <patternFill patternType="none">
          <bgColor auto="1"/>
        </patternFill>
      </fill>
    </dxf>
  </dxfs>
  <tableStyles count="0" defaultTableStyle="TableStyleMedium2" defaultPivotStyle="PivotStyleLight16"/>
  <colors>
    <mruColors>
      <color rgb="FF1B75BB"/>
      <color rgb="FFC0E6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1">
                    <a:lumMod val="65000"/>
                    <a:lumOff val="35000"/>
                  </a:schemeClr>
                </a:solidFill>
                <a:latin typeface="Rufina" panose="02000503000000020004" pitchFamily="2" charset="0"/>
                <a:ea typeface="+mn-ea"/>
                <a:cs typeface="+mn-cs"/>
              </a:defRPr>
            </a:pPr>
            <a:r>
              <a:rPr lang="de-DE" sz="1800">
                <a:latin typeface="Rufina" panose="02000503000000020004" pitchFamily="2" charset="0"/>
              </a:rPr>
              <a:t>Rentabilität</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1">
                  <a:lumMod val="65000"/>
                  <a:lumOff val="35000"/>
                </a:schemeClr>
              </a:solidFill>
              <a:latin typeface="Rufina" panose="02000503000000020004" pitchFamily="2" charset="0"/>
              <a:ea typeface="+mn-ea"/>
              <a:cs typeface="+mn-cs"/>
            </a:defRPr>
          </a:pPr>
          <a:endParaRPr lang="de-DE"/>
        </a:p>
      </c:txPr>
    </c:title>
    <c:autoTitleDeleted val="0"/>
    <c:plotArea>
      <c:layout/>
      <c:barChart>
        <c:barDir val="col"/>
        <c:grouping val="clustered"/>
        <c:varyColors val="0"/>
        <c:ser>
          <c:idx val="0"/>
          <c:order val="0"/>
          <c:tx>
            <c:strRef>
              <c:f>Rentabilitätsplanung!$B$7</c:f>
              <c:strCache>
                <c:ptCount val="1"/>
                <c:pt idx="0">
                  <c:v>Umsatzerlöse</c:v>
                </c:pt>
              </c:strCache>
            </c:strRef>
          </c:tx>
          <c:spPr>
            <a:solidFill>
              <a:srgbClr val="1B75BB"/>
            </a:solidFill>
            <a:ln>
              <a:noFill/>
            </a:ln>
            <a:effectLst>
              <a:outerShdw blurRad="57150" dist="19050" dir="5400000" algn="ctr" rotWithShape="0">
                <a:srgbClr val="000000">
                  <a:alpha val="63000"/>
                </a:srgbClr>
              </a:outerShdw>
            </a:effectLst>
          </c:spPr>
          <c:invertIfNegative val="0"/>
          <c:cat>
            <c:numRef>
              <c:f>Rentabilitätsplanung!$C$6:$E$6</c:f>
              <c:numCache>
                <c:formatCode>General</c:formatCode>
                <c:ptCount val="3"/>
                <c:pt idx="0">
                  <c:v>2025</c:v>
                </c:pt>
                <c:pt idx="1">
                  <c:v>2026</c:v>
                </c:pt>
                <c:pt idx="2">
                  <c:v>2027</c:v>
                </c:pt>
              </c:numCache>
            </c:numRef>
          </c:cat>
          <c:val>
            <c:numRef>
              <c:f>Rentabilitätsplanung!$C$7:$E$7</c:f>
              <c:numCache>
                <c:formatCode>_-* #,##0\ "€"_-;\-* #,##0\ "€"_-;_-* "-"??\ "€"_-;_-@_-</c:formatCode>
                <c:ptCount val="3"/>
                <c:pt idx="0">
                  <c:v>528421.9</c:v>
                </c:pt>
                <c:pt idx="1">
                  <c:v>1673511.1000000003</c:v>
                </c:pt>
                <c:pt idx="2">
                  <c:v>3281806.9000000008</c:v>
                </c:pt>
              </c:numCache>
            </c:numRef>
          </c:val>
          <c:extLst>
            <c:ext xmlns:c16="http://schemas.microsoft.com/office/drawing/2014/chart" uri="{C3380CC4-5D6E-409C-BE32-E72D297353CC}">
              <c16:uniqueId val="{00000000-DFAD-48FF-8DD2-CD51916F1566}"/>
            </c:ext>
          </c:extLst>
        </c:ser>
        <c:dLbls>
          <c:showLegendKey val="0"/>
          <c:showVal val="0"/>
          <c:showCatName val="0"/>
          <c:showSerName val="0"/>
          <c:showPercent val="0"/>
          <c:showBubbleSize val="0"/>
        </c:dLbls>
        <c:gapWidth val="219"/>
        <c:overlap val="-27"/>
        <c:axId val="1355846320"/>
        <c:axId val="1355840560"/>
      </c:barChart>
      <c:lineChart>
        <c:grouping val="standard"/>
        <c:varyColors val="0"/>
        <c:ser>
          <c:idx val="1"/>
          <c:order val="1"/>
          <c:tx>
            <c:strRef>
              <c:f>Rentabilitätsplanung!$B$27</c:f>
              <c:strCache>
                <c:ptCount val="1"/>
                <c:pt idx="0">
                  <c:v>Betriebsergebnis vor Steuern</c:v>
                </c:pt>
              </c:strCache>
            </c:strRef>
          </c:tx>
          <c:spPr>
            <a:ln w="34925" cap="rnd">
              <a:solidFill>
                <a:schemeClr val="accent2"/>
              </a:solidFill>
              <a:round/>
            </a:ln>
            <a:effectLst>
              <a:outerShdw blurRad="57150" dist="19050" dir="5400000" algn="ctr" rotWithShape="0">
                <a:srgbClr val="000000">
                  <a:alpha val="63000"/>
                </a:srgbClr>
              </a:outerShdw>
            </a:effectLst>
          </c:spPr>
          <c:marker>
            <c:symbol val="none"/>
          </c:marker>
          <c:cat>
            <c:numRef>
              <c:f>Rentabilitätsplanung!$C$6:$E$6</c:f>
              <c:numCache>
                <c:formatCode>General</c:formatCode>
                <c:ptCount val="3"/>
                <c:pt idx="0">
                  <c:v>2025</c:v>
                </c:pt>
                <c:pt idx="1">
                  <c:v>2026</c:v>
                </c:pt>
                <c:pt idx="2">
                  <c:v>2027</c:v>
                </c:pt>
              </c:numCache>
            </c:numRef>
          </c:cat>
          <c:val>
            <c:numRef>
              <c:f>Rentabilitätsplanung!$C$27:$E$27</c:f>
              <c:numCache>
                <c:formatCode>_-* #,##0\ "€"_-;\-* #,##0\ "€"_-;_-* "-"??\ "€"_-;_-@_-</c:formatCode>
                <c:ptCount val="3"/>
                <c:pt idx="0">
                  <c:v>-346122.40756666672</c:v>
                </c:pt>
                <c:pt idx="1">
                  <c:v>74360.342037412483</c:v>
                </c:pt>
                <c:pt idx="2">
                  <c:v>961265.49280524196</c:v>
                </c:pt>
              </c:numCache>
            </c:numRef>
          </c:val>
          <c:smooth val="0"/>
          <c:extLst>
            <c:ext xmlns:c16="http://schemas.microsoft.com/office/drawing/2014/chart" uri="{C3380CC4-5D6E-409C-BE32-E72D297353CC}">
              <c16:uniqueId val="{00000001-DFAD-48FF-8DD2-CD51916F1566}"/>
            </c:ext>
          </c:extLst>
        </c:ser>
        <c:dLbls>
          <c:showLegendKey val="0"/>
          <c:showVal val="0"/>
          <c:showCatName val="0"/>
          <c:showSerName val="0"/>
          <c:showPercent val="0"/>
          <c:showBubbleSize val="0"/>
        </c:dLbls>
        <c:marker val="1"/>
        <c:smooth val="0"/>
        <c:axId val="1351340640"/>
        <c:axId val="1351340160"/>
      </c:lineChart>
      <c:catAx>
        <c:axId val="135584632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PT Serif" panose="020A0603040505020204" pitchFamily="18" charset="0"/>
                <a:ea typeface="+mn-ea"/>
                <a:cs typeface="+mn-cs"/>
              </a:defRPr>
            </a:pPr>
            <a:endParaRPr lang="de-DE"/>
          </a:p>
        </c:txPr>
        <c:crossAx val="1355840560"/>
        <c:crosses val="autoZero"/>
        <c:auto val="1"/>
        <c:lblAlgn val="ctr"/>
        <c:lblOffset val="100"/>
        <c:noMultiLvlLbl val="0"/>
      </c:catAx>
      <c:valAx>
        <c:axId val="1355840560"/>
        <c:scaling>
          <c:orientation val="minMax"/>
        </c:scaling>
        <c:delete val="0"/>
        <c:axPos val="l"/>
        <c:majorGridlines>
          <c:spPr>
            <a:ln w="9525" cap="flat" cmpd="sng" algn="ctr">
              <a:solidFill>
                <a:schemeClr val="tx1">
                  <a:lumMod val="15000"/>
                  <a:lumOff val="85000"/>
                </a:schemeClr>
              </a:solidFill>
              <a:round/>
            </a:ln>
            <a:effectLst/>
          </c:spPr>
        </c:majorGridlines>
        <c:numFmt formatCode="_-* #,##0\ &quot;€&quot;_-;\-* #,##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PT Serif" panose="020A0603040505020204" pitchFamily="18" charset="0"/>
                <a:ea typeface="+mn-ea"/>
                <a:cs typeface="+mn-cs"/>
              </a:defRPr>
            </a:pPr>
            <a:endParaRPr lang="de-DE"/>
          </a:p>
        </c:txPr>
        <c:crossAx val="1355846320"/>
        <c:crosses val="autoZero"/>
        <c:crossBetween val="between"/>
      </c:valAx>
      <c:valAx>
        <c:axId val="1351340160"/>
        <c:scaling>
          <c:orientation val="minMax"/>
        </c:scaling>
        <c:delete val="0"/>
        <c:axPos val="r"/>
        <c:numFmt formatCode="_-* #,##0\ &quot;€&quot;_-;\-* #,##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PT Serif" panose="020A0603040505020204" pitchFamily="18" charset="0"/>
                <a:ea typeface="+mn-ea"/>
                <a:cs typeface="+mn-cs"/>
              </a:defRPr>
            </a:pPr>
            <a:endParaRPr lang="de-DE"/>
          </a:p>
        </c:txPr>
        <c:crossAx val="1351340640"/>
        <c:crosses val="max"/>
        <c:crossBetween val="between"/>
      </c:valAx>
      <c:catAx>
        <c:axId val="1351340640"/>
        <c:scaling>
          <c:orientation val="minMax"/>
        </c:scaling>
        <c:delete val="1"/>
        <c:axPos val="b"/>
        <c:numFmt formatCode="General" sourceLinked="1"/>
        <c:majorTickMark val="none"/>
        <c:minorTickMark val="none"/>
        <c:tickLblPos val="nextTo"/>
        <c:crossAx val="13513401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PT Serif" panose="020A0603040505020204" pitchFamily="18" charset="0"/>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PT Serif" panose="020A0603040505020204" pitchFamily="18"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Rufina" panose="02000503000000020004" pitchFamily="2" charset="0"/>
              <a:ea typeface="+mn-ea"/>
              <a:cs typeface="+mn-cs"/>
            </a:defRPr>
          </a:pPr>
          <a:endParaRPr lang="de-DE"/>
        </a:p>
      </c:txPr>
    </c:title>
    <c:autoTitleDeleted val="0"/>
    <c:plotArea>
      <c:layout/>
      <c:areaChart>
        <c:grouping val="stacked"/>
        <c:varyColors val="0"/>
        <c:ser>
          <c:idx val="0"/>
          <c:order val="0"/>
          <c:tx>
            <c:strRef>
              <c:f>Grafiken!$B$70</c:f>
              <c:strCache>
                <c:ptCount val="1"/>
                <c:pt idx="0">
                  <c:v>Kontostand</c:v>
                </c:pt>
              </c:strCache>
            </c:strRef>
          </c:tx>
          <c:spPr>
            <a:solidFill>
              <a:srgbClr val="1B75BB"/>
            </a:solidFill>
            <a:ln>
              <a:noFill/>
            </a:ln>
            <a:effectLst/>
          </c:spPr>
          <c:cat>
            <c:numRef>
              <c:f>Grafiken!$C$69:$AL$69</c:f>
              <c:numCache>
                <c:formatCode>[$-407]mmmm\ yy;@</c:formatCode>
                <c:ptCount val="36"/>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pt idx="21">
                  <c:v>46296</c:v>
                </c:pt>
                <c:pt idx="22">
                  <c:v>46327</c:v>
                </c:pt>
                <c:pt idx="23">
                  <c:v>46357</c:v>
                </c:pt>
                <c:pt idx="24">
                  <c:v>46388</c:v>
                </c:pt>
                <c:pt idx="25">
                  <c:v>46419</c:v>
                </c:pt>
                <c:pt idx="26">
                  <c:v>46447</c:v>
                </c:pt>
                <c:pt idx="27">
                  <c:v>46478</c:v>
                </c:pt>
                <c:pt idx="28">
                  <c:v>46508</c:v>
                </c:pt>
                <c:pt idx="29">
                  <c:v>46539</c:v>
                </c:pt>
                <c:pt idx="30">
                  <c:v>46569</c:v>
                </c:pt>
                <c:pt idx="31">
                  <c:v>46600</c:v>
                </c:pt>
                <c:pt idx="32">
                  <c:v>46631</c:v>
                </c:pt>
                <c:pt idx="33">
                  <c:v>46661</c:v>
                </c:pt>
                <c:pt idx="34">
                  <c:v>46692</c:v>
                </c:pt>
                <c:pt idx="35">
                  <c:v>46722</c:v>
                </c:pt>
              </c:numCache>
            </c:numRef>
          </c:cat>
          <c:val>
            <c:numRef>
              <c:f>Grafiken!$C$70:$AL$70</c:f>
              <c:numCache>
                <c:formatCode>#,##0</c:formatCode>
                <c:ptCount val="36"/>
                <c:pt idx="0">
                  <c:v>326119.58333333331</c:v>
                </c:pt>
                <c:pt idx="1">
                  <c:v>289054.58333333331</c:v>
                </c:pt>
                <c:pt idx="2">
                  <c:v>263143.33333333331</c:v>
                </c:pt>
                <c:pt idx="3">
                  <c:v>238820.99384999997</c:v>
                </c:pt>
                <c:pt idx="4">
                  <c:v>214615.99481666664</c:v>
                </c:pt>
                <c:pt idx="5">
                  <c:v>191628.33623333331</c:v>
                </c:pt>
                <c:pt idx="6">
                  <c:v>164858.01809999996</c:v>
                </c:pt>
                <c:pt idx="7">
                  <c:v>144286.2904166666</c:v>
                </c:pt>
                <c:pt idx="8">
                  <c:v>124931.90318333326</c:v>
                </c:pt>
                <c:pt idx="9">
                  <c:v>112976.1063999999</c:v>
                </c:pt>
                <c:pt idx="10">
                  <c:v>100158.00281666656</c:v>
                </c:pt>
                <c:pt idx="11">
                  <c:v>88877.592433333208</c:v>
                </c:pt>
                <c:pt idx="12">
                  <c:v>52136.995463036626</c:v>
                </c:pt>
                <c:pt idx="13">
                  <c:v>36396.591692740025</c:v>
                </c:pt>
                <c:pt idx="14">
                  <c:v>35792.631122443432</c:v>
                </c:pt>
                <c:pt idx="15">
                  <c:v>44545.14595214685</c:v>
                </c:pt>
                <c:pt idx="16">
                  <c:v>44674.649448516939</c:v>
                </c:pt>
                <c:pt idx="17">
                  <c:v>49866.974944886999</c:v>
                </c:pt>
                <c:pt idx="18">
                  <c:v>58839.622441257074</c:v>
                </c:pt>
                <c:pt idx="19">
                  <c:v>65845.508604293791</c:v>
                </c:pt>
                <c:pt idx="20">
                  <c:v>85331.716767330523</c:v>
                </c:pt>
                <c:pt idx="21">
                  <c:v>111802.70243036725</c:v>
                </c:pt>
                <c:pt idx="22">
                  <c:v>139205.35669340403</c:v>
                </c:pt>
                <c:pt idx="23">
                  <c:v>162003.84622310742</c:v>
                </c:pt>
                <c:pt idx="24">
                  <c:v>200281.24820281085</c:v>
                </c:pt>
                <c:pt idx="25">
                  <c:v>207705.07974479286</c:v>
                </c:pt>
                <c:pt idx="26">
                  <c:v>233445.76731096636</c:v>
                </c:pt>
                <c:pt idx="27">
                  <c:v>307345.41990733647</c:v>
                </c:pt>
                <c:pt idx="28">
                  <c:v>339341.69526598521</c:v>
                </c:pt>
                <c:pt idx="29">
                  <c:v>378593.76984882541</c:v>
                </c:pt>
                <c:pt idx="30">
                  <c:v>459083.65606186213</c:v>
                </c:pt>
                <c:pt idx="31">
                  <c:v>511473.91503717744</c:v>
                </c:pt>
                <c:pt idx="32">
                  <c:v>572592.47323668422</c:v>
                </c:pt>
                <c:pt idx="33">
                  <c:v>682658.2341663877</c:v>
                </c:pt>
                <c:pt idx="34">
                  <c:v>761284.59229170298</c:v>
                </c:pt>
                <c:pt idx="35">
                  <c:v>837409.05740787648</c:v>
                </c:pt>
              </c:numCache>
            </c:numRef>
          </c:val>
          <c:extLst>
            <c:ext xmlns:c16="http://schemas.microsoft.com/office/drawing/2014/chart" uri="{C3380CC4-5D6E-409C-BE32-E72D297353CC}">
              <c16:uniqueId val="{00000000-4E42-44BB-95E8-B55C7E4188E4}"/>
            </c:ext>
          </c:extLst>
        </c:ser>
        <c:dLbls>
          <c:showLegendKey val="0"/>
          <c:showVal val="0"/>
          <c:showCatName val="0"/>
          <c:showSerName val="0"/>
          <c:showPercent val="0"/>
          <c:showBubbleSize val="0"/>
        </c:dLbls>
        <c:axId val="1364128880"/>
        <c:axId val="1364129360"/>
      </c:areaChart>
      <c:dateAx>
        <c:axId val="1364128880"/>
        <c:scaling>
          <c:orientation val="minMax"/>
        </c:scaling>
        <c:delete val="0"/>
        <c:axPos val="b"/>
        <c:numFmt formatCode="[$-407]mmmm\ 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PT Serif" panose="020A0603040505020204" pitchFamily="18" charset="0"/>
                <a:ea typeface="+mn-ea"/>
                <a:cs typeface="+mn-cs"/>
              </a:defRPr>
            </a:pPr>
            <a:endParaRPr lang="de-DE"/>
          </a:p>
        </c:txPr>
        <c:crossAx val="1364129360"/>
        <c:crosses val="autoZero"/>
        <c:auto val="1"/>
        <c:lblOffset val="100"/>
        <c:baseTimeUnit val="months"/>
      </c:dateAx>
      <c:valAx>
        <c:axId val="13641293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PT Serif" panose="020A0603040505020204" pitchFamily="18" charset="0"/>
                <a:ea typeface="+mn-ea"/>
                <a:cs typeface="+mn-cs"/>
              </a:defRPr>
            </a:pPr>
            <a:endParaRPr lang="de-DE"/>
          </a:p>
        </c:txPr>
        <c:crossAx val="1364128880"/>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PT Serif" panose="020A0603040505020204" pitchFamily="18" charset="0"/>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52">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27</xdr:row>
      <xdr:rowOff>85726</xdr:rowOff>
    </xdr:from>
    <xdr:to>
      <xdr:col>1</xdr:col>
      <xdr:colOff>2295526</xdr:colOff>
      <xdr:row>29</xdr:row>
      <xdr:rowOff>121344</xdr:rowOff>
    </xdr:to>
    <xdr:pic>
      <xdr:nvPicPr>
        <xdr:cNvPr id="3" name="Grafik 2">
          <a:extLst>
            <a:ext uri="{FF2B5EF4-FFF2-40B4-BE49-F238E27FC236}">
              <a16:creationId xmlns:a16="http://schemas.microsoft.com/office/drawing/2014/main" id="{F6C7D931-1CBC-F557-48DB-8355BFB7F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6" y="7953376"/>
          <a:ext cx="2247900" cy="4547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11</xdr:row>
      <xdr:rowOff>0</xdr:rowOff>
    </xdr:from>
    <xdr:to>
      <xdr:col>8</xdr:col>
      <xdr:colOff>6350</xdr:colOff>
      <xdr:row>27</xdr:row>
      <xdr:rowOff>130256</xdr:rowOff>
    </xdr:to>
    <xdr:graphicFrame macro="">
      <xdr:nvGraphicFramePr>
        <xdr:cNvPr id="4" name="Diagramm 3">
          <a:extLst>
            <a:ext uri="{FF2B5EF4-FFF2-40B4-BE49-F238E27FC236}">
              <a16:creationId xmlns:a16="http://schemas.microsoft.com/office/drawing/2014/main" id="{A25A77AB-0352-4EA1-915D-7EF8AB8903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11</xdr:row>
      <xdr:rowOff>0</xdr:rowOff>
    </xdr:from>
    <xdr:to>
      <xdr:col>16</xdr:col>
      <xdr:colOff>7425</xdr:colOff>
      <xdr:row>27</xdr:row>
      <xdr:rowOff>130834</xdr:rowOff>
    </xdr:to>
    <xdr:graphicFrame macro="">
      <xdr:nvGraphicFramePr>
        <xdr:cNvPr id="5" name="Diagramm 4">
          <a:extLst>
            <a:ext uri="{FF2B5EF4-FFF2-40B4-BE49-F238E27FC236}">
              <a16:creationId xmlns:a16="http://schemas.microsoft.com/office/drawing/2014/main" id="{F57649AF-424C-4D8C-A236-AD0CB9ADCD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ntact@ellmann-consulting.com"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6F987-678F-41AF-9F2D-28F7323B2D3B}">
  <sheetPr>
    <tabColor rgb="FF00B0F0"/>
    <pageSetUpPr fitToPage="1"/>
  </sheetPr>
  <dimension ref="A1:C32"/>
  <sheetViews>
    <sheetView showGridLines="0" tabSelected="1" workbookViewId="0"/>
  </sheetViews>
  <sheetFormatPr baseColWidth="10" defaultColWidth="10.1640625" defaultRowHeight="15"/>
  <cols>
    <col min="1" max="1" width="1.33203125" style="67" customWidth="1"/>
    <col min="2" max="2" width="32.1640625" style="67" customWidth="1"/>
    <col min="3" max="3" width="46.83203125" style="67" customWidth="1"/>
    <col min="4" max="16384" width="10.1640625" style="67"/>
  </cols>
  <sheetData>
    <row r="1" spans="1:3" s="68" customFormat="1">
      <c r="A1" s="67"/>
    </row>
    <row r="2" spans="1:3" s="68" customFormat="1" ht="29">
      <c r="A2" s="67"/>
      <c r="B2" s="1" t="str">
        <f>_xlfn.CONCAT(C11," - Finanzplanung")</f>
        <v>Ellmann Consulting GmbH - Finanzplanung</v>
      </c>
      <c r="C2" s="69"/>
    </row>
    <row r="4" spans="1:3" ht="21">
      <c r="B4" s="2" t="s">
        <v>16</v>
      </c>
      <c r="C4" s="70"/>
    </row>
    <row r="5" spans="1:3" ht="51.75" customHeight="1">
      <c r="B5" s="132" t="str">
        <f>_xlfn.CONCAT("Dieses Modell dient dazu, die ersten drei Geschäftsjahre der ",C11," zu prognostizieren und kontrollieren. Die Daten sollen für eine unabhängige Überprüfung des Geschäfts verwendet werden.")&amp;_xlfn.CONCAT(" Dies ist ein fiktiver Case, der nur zur Veranschaulichung dienen soll.")</f>
        <v>Dieses Modell dient dazu, die ersten drei Geschäftsjahre der Ellmann Consulting GmbH zu prognostizieren und kontrollieren. Die Daten sollen für eine unabhängige Überprüfung des Geschäfts verwendet werden. Dies ist ein fiktiver Case, der nur zur Veranschaulichung dienen soll.</v>
      </c>
      <c r="C5" s="132"/>
    </row>
    <row r="7" spans="1:3" ht="21">
      <c r="B7" s="2" t="s">
        <v>323</v>
      </c>
      <c r="C7" s="70"/>
    </row>
    <row r="8" spans="1:3" ht="113.5" customHeight="1">
      <c r="B8" s="132" t="s">
        <v>326</v>
      </c>
      <c r="C8" s="132"/>
    </row>
    <row r="10" spans="1:3" ht="21">
      <c r="B10" s="2" t="s">
        <v>2</v>
      </c>
    </row>
    <row r="11" spans="1:3">
      <c r="B11" s="3" t="s">
        <v>3</v>
      </c>
      <c r="C11" s="4" t="s">
        <v>0</v>
      </c>
    </row>
    <row r="12" spans="1:3">
      <c r="B12" s="3" t="s">
        <v>177</v>
      </c>
      <c r="C12" s="4" t="s">
        <v>179</v>
      </c>
    </row>
    <row r="13" spans="1:3">
      <c r="B13" s="3" t="s">
        <v>180</v>
      </c>
      <c r="C13" s="71" t="s">
        <v>178</v>
      </c>
    </row>
    <row r="14" spans="1:3">
      <c r="B14" s="3" t="s">
        <v>181</v>
      </c>
      <c r="C14" s="72" t="s">
        <v>182</v>
      </c>
    </row>
    <row r="15" spans="1:3">
      <c r="B15" s="3" t="s">
        <v>1</v>
      </c>
      <c r="C15" s="5">
        <v>45658</v>
      </c>
    </row>
    <row r="16" spans="1:3">
      <c r="B16" s="3" t="s">
        <v>4</v>
      </c>
      <c r="C16" s="6">
        <v>25000</v>
      </c>
    </row>
    <row r="19" spans="2:3" ht="21">
      <c r="B19" s="2" t="s">
        <v>5</v>
      </c>
    </row>
    <row r="20" spans="2:3">
      <c r="B20" s="3" t="s">
        <v>6</v>
      </c>
      <c r="C20" s="7">
        <v>1234</v>
      </c>
    </row>
    <row r="21" spans="2:3">
      <c r="B21" s="3" t="s">
        <v>7</v>
      </c>
      <c r="C21" s="8" t="s">
        <v>8</v>
      </c>
    </row>
    <row r="22" spans="2:3">
      <c r="B22" s="3" t="s">
        <v>9</v>
      </c>
      <c r="C22" s="11" t="s">
        <v>10</v>
      </c>
    </row>
    <row r="23" spans="2:3">
      <c r="B23" s="3" t="s">
        <v>11</v>
      </c>
      <c r="C23" s="10" t="s">
        <v>12</v>
      </c>
    </row>
    <row r="24" spans="2:3">
      <c r="B24" s="3" t="s">
        <v>13</v>
      </c>
      <c r="C24" s="9" t="s">
        <v>14</v>
      </c>
    </row>
    <row r="25" spans="2:3">
      <c r="B25" s="3" t="s">
        <v>44</v>
      </c>
      <c r="C25" s="28" t="s">
        <v>45</v>
      </c>
    </row>
    <row r="27" spans="2:3">
      <c r="B27" s="67" t="s">
        <v>15</v>
      </c>
    </row>
    <row r="32" spans="2:3" ht="30" customHeight="1">
      <c r="B32" s="73" t="s">
        <v>194</v>
      </c>
    </row>
  </sheetData>
  <mergeCells count="2">
    <mergeCell ref="B5:C5"/>
    <mergeCell ref="B8:C8"/>
  </mergeCells>
  <hyperlinks>
    <hyperlink ref="C14" r:id="rId1" xr:uid="{F6EE3B24-0851-46FA-9EFE-67BE77A8397C}"/>
    <hyperlink ref="B32" location="'Annahmen-&gt;'!A1" display="-&gt; Jetzt mit der Planung starten!" xr:uid="{B959DC95-90A2-4A96-AE9C-8C95BE584869}"/>
  </hyperlinks>
  <pageMargins left="0.7" right="0.7" top="0.78740157499999996" bottom="0.78740157499999996" header="0.3" footer="0.3"/>
  <pageSetup paperSize="9" scale="9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CF401-8E7B-4BA8-9835-E2F1E0125CA2}">
  <sheetPr>
    <tabColor rgb="FFFFC000"/>
  </sheetPr>
  <dimension ref="B1:L22"/>
  <sheetViews>
    <sheetView showGridLines="0" workbookViewId="0"/>
  </sheetViews>
  <sheetFormatPr baseColWidth="10" defaultColWidth="11.5" defaultRowHeight="15"/>
  <cols>
    <col min="1" max="1" width="2.6640625" style="13" customWidth="1"/>
    <col min="2" max="2" width="15.83203125" style="13" customWidth="1"/>
    <col min="3" max="12" width="13.6640625" style="13" customWidth="1"/>
    <col min="13" max="16384" width="11.5" style="13"/>
  </cols>
  <sheetData>
    <row r="1" spans="2:12" s="74" customFormat="1"/>
    <row r="2" spans="2:12" s="75" customFormat="1">
      <c r="B2" s="75" t="s">
        <v>197</v>
      </c>
      <c r="C2" s="76">
        <v>1</v>
      </c>
      <c r="D2" s="76">
        <v>2</v>
      </c>
      <c r="E2" s="76">
        <v>3</v>
      </c>
      <c r="F2" s="76">
        <v>4</v>
      </c>
      <c r="G2" s="76">
        <v>5</v>
      </c>
      <c r="H2" s="76">
        <v>6</v>
      </c>
      <c r="I2" s="76">
        <v>7</v>
      </c>
      <c r="J2" s="76">
        <v>8</v>
      </c>
      <c r="K2" s="76">
        <v>9</v>
      </c>
      <c r="L2" s="76"/>
    </row>
    <row r="3" spans="2:12" s="75" customFormat="1">
      <c r="B3" s="75" t="s">
        <v>196</v>
      </c>
      <c r="C3" s="76" t="s">
        <v>195</v>
      </c>
      <c r="D3" s="76" t="s">
        <v>17</v>
      </c>
      <c r="E3" s="76" t="s">
        <v>31</v>
      </c>
      <c r="F3" s="76" t="s">
        <v>49</v>
      </c>
      <c r="G3" s="76" t="s">
        <v>80</v>
      </c>
      <c r="H3" s="76" t="s">
        <v>271</v>
      </c>
      <c r="I3" s="76" t="s">
        <v>272</v>
      </c>
      <c r="J3" s="76" t="s">
        <v>110</v>
      </c>
      <c r="K3" s="76" t="s">
        <v>273</v>
      </c>
      <c r="L3" s="76"/>
    </row>
    <row r="4" spans="2:12" s="75" customFormat="1">
      <c r="B4" s="75" t="s">
        <v>238</v>
      </c>
      <c r="C4" s="85"/>
    </row>
    <row r="5" spans="2:12" s="75" customFormat="1"/>
    <row r="7" spans="2:12" ht="28">
      <c r="B7" s="1" t="s">
        <v>183</v>
      </c>
    </row>
    <row r="9" spans="2:12">
      <c r="B9" s="13" t="s">
        <v>3</v>
      </c>
      <c r="C9" s="13" t="s">
        <v>184</v>
      </c>
    </row>
    <row r="11" spans="2:12">
      <c r="B11" s="13" t="s">
        <v>185</v>
      </c>
      <c r="C11" s="13" t="s">
        <v>186</v>
      </c>
    </row>
    <row r="12" spans="2:12">
      <c r="D12" s="13" t="s">
        <v>188</v>
      </c>
    </row>
    <row r="13" spans="2:12">
      <c r="D13" s="13" t="s">
        <v>187</v>
      </c>
    </row>
    <row r="14" spans="2:12">
      <c r="C14" s="13" t="s">
        <v>189</v>
      </c>
    </row>
    <row r="16" spans="2:12">
      <c r="B16" s="13" t="s">
        <v>190</v>
      </c>
      <c r="C16" s="13" t="s">
        <v>191</v>
      </c>
    </row>
    <row r="17" spans="2:4">
      <c r="C17" s="13" t="s">
        <v>199</v>
      </c>
    </row>
    <row r="22" spans="2:4" ht="30" customHeight="1">
      <c r="B22" s="133" t="s">
        <v>198</v>
      </c>
      <c r="C22" s="133"/>
      <c r="D22" s="133"/>
    </row>
  </sheetData>
  <mergeCells count="1">
    <mergeCell ref="B22:D22"/>
  </mergeCells>
  <hyperlinks>
    <hyperlink ref="B22" location="'Annahmen-&gt;'!A1" display="-&gt; Jetzt mit der Planung starten!" xr:uid="{D4A021CB-92DA-49E1-A78B-60879F2E1DD2}"/>
    <hyperlink ref="B22:D22" location="'Umsatz | COGS'!A1" display="-&gt; Zur Umsatzplanung" xr:uid="{2ECC24EE-FFE1-4543-A203-C7A9CA97247B}"/>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12DF-D044-4EFB-A207-D34A8594473C}">
  <sheetPr>
    <tabColor rgb="FFFFC000"/>
  </sheetPr>
  <dimension ref="A1:AP83"/>
  <sheetViews>
    <sheetView showGridLines="0" workbookViewId="0">
      <pane xSplit="6" ySplit="2" topLeftCell="G3" activePane="bottomRight" state="frozen"/>
      <selection pane="topRight" activeCell="G1" sqref="G1"/>
      <selection pane="bottomLeft" activeCell="A3" sqref="A3"/>
      <selection pane="bottomRight"/>
    </sheetView>
  </sheetViews>
  <sheetFormatPr baseColWidth="10" defaultColWidth="11.5" defaultRowHeight="15"/>
  <cols>
    <col min="1" max="1" width="15.6640625" style="13" customWidth="1"/>
    <col min="2" max="4" width="16" style="13" customWidth="1"/>
    <col min="5" max="5" width="11.5" style="13"/>
    <col min="6" max="6" width="22.1640625" style="13" customWidth="1"/>
    <col min="7" max="42" width="11.5" style="13" customWidth="1"/>
    <col min="43" max="16384" width="11.5" style="13"/>
  </cols>
  <sheetData>
    <row r="1" spans="1:42" ht="16">
      <c r="A1" s="12" t="s">
        <v>17</v>
      </c>
      <c r="F1" s="14" t="s">
        <v>18</v>
      </c>
      <c r="G1" s="134" t="s">
        <v>19</v>
      </c>
      <c r="H1" s="134"/>
      <c r="I1" s="134"/>
      <c r="J1" s="134"/>
      <c r="K1" s="134"/>
      <c r="L1" s="134"/>
      <c r="M1" s="134"/>
      <c r="N1" s="134"/>
      <c r="O1" s="134"/>
      <c r="P1" s="134"/>
      <c r="Q1" s="134"/>
      <c r="R1" s="134"/>
      <c r="S1" s="134" t="s">
        <v>20</v>
      </c>
      <c r="T1" s="134"/>
      <c r="U1" s="134"/>
      <c r="V1" s="134"/>
      <c r="W1" s="134"/>
      <c r="X1" s="134"/>
      <c r="Y1" s="134"/>
      <c r="Z1" s="134"/>
      <c r="AA1" s="134"/>
      <c r="AB1" s="134"/>
      <c r="AC1" s="134"/>
      <c r="AD1" s="134"/>
      <c r="AE1" s="134" t="s">
        <v>21</v>
      </c>
      <c r="AF1" s="134"/>
      <c r="AG1" s="134"/>
      <c r="AH1" s="134"/>
      <c r="AI1" s="134"/>
      <c r="AJ1" s="134"/>
      <c r="AK1" s="134"/>
      <c r="AL1" s="134"/>
      <c r="AM1" s="134"/>
      <c r="AN1" s="134"/>
      <c r="AO1" s="134"/>
      <c r="AP1" s="134"/>
    </row>
    <row r="2" spans="1:42" ht="16">
      <c r="A2" s="23" t="str">
        <f>Cover!C11</f>
        <v>Ellmann Consulting GmbH</v>
      </c>
      <c r="F2" s="14" t="s">
        <v>22</v>
      </c>
      <c r="G2" s="24">
        <f>DATE(YEAR(Cover!C15),MONTH(Cover!C15),DAY(Cover!C15))</f>
        <v>45658</v>
      </c>
      <c r="H2" s="16">
        <f>DATE(YEAR(G2),MONTH(G2)+1,DAY(G2))</f>
        <v>45689</v>
      </c>
      <c r="I2" s="16">
        <f t="shared" ref="I2:AP2" si="0">DATE(YEAR(H2),MONTH(H2)+1,DAY(H2))</f>
        <v>45717</v>
      </c>
      <c r="J2" s="16">
        <f t="shared" si="0"/>
        <v>45748</v>
      </c>
      <c r="K2" s="16">
        <f t="shared" si="0"/>
        <v>45778</v>
      </c>
      <c r="L2" s="16">
        <f t="shared" si="0"/>
        <v>45809</v>
      </c>
      <c r="M2" s="16">
        <f t="shared" si="0"/>
        <v>45839</v>
      </c>
      <c r="N2" s="16">
        <f t="shared" si="0"/>
        <v>45870</v>
      </c>
      <c r="O2" s="16">
        <f t="shared" si="0"/>
        <v>45901</v>
      </c>
      <c r="P2" s="16">
        <f t="shared" si="0"/>
        <v>45931</v>
      </c>
      <c r="Q2" s="16">
        <f t="shared" si="0"/>
        <v>45962</v>
      </c>
      <c r="R2" s="16">
        <f t="shared" si="0"/>
        <v>45992</v>
      </c>
      <c r="S2" s="16">
        <f t="shared" si="0"/>
        <v>46023</v>
      </c>
      <c r="T2" s="16">
        <f t="shared" si="0"/>
        <v>46054</v>
      </c>
      <c r="U2" s="16">
        <f t="shared" si="0"/>
        <v>46082</v>
      </c>
      <c r="V2" s="16">
        <f t="shared" si="0"/>
        <v>46113</v>
      </c>
      <c r="W2" s="16">
        <f t="shared" si="0"/>
        <v>46143</v>
      </c>
      <c r="X2" s="16">
        <f t="shared" si="0"/>
        <v>46174</v>
      </c>
      <c r="Y2" s="16">
        <f t="shared" si="0"/>
        <v>46204</v>
      </c>
      <c r="Z2" s="16">
        <f t="shared" si="0"/>
        <v>46235</v>
      </c>
      <c r="AA2" s="16">
        <f t="shared" si="0"/>
        <v>46266</v>
      </c>
      <c r="AB2" s="16">
        <f t="shared" si="0"/>
        <v>46296</v>
      </c>
      <c r="AC2" s="16">
        <f t="shared" si="0"/>
        <v>46327</v>
      </c>
      <c r="AD2" s="16">
        <f t="shared" si="0"/>
        <v>46357</v>
      </c>
      <c r="AE2" s="16">
        <f t="shared" si="0"/>
        <v>46388</v>
      </c>
      <c r="AF2" s="16">
        <f t="shared" si="0"/>
        <v>46419</v>
      </c>
      <c r="AG2" s="16">
        <f t="shared" si="0"/>
        <v>46447</v>
      </c>
      <c r="AH2" s="16">
        <f t="shared" si="0"/>
        <v>46478</v>
      </c>
      <c r="AI2" s="16">
        <f t="shared" si="0"/>
        <v>46508</v>
      </c>
      <c r="AJ2" s="16">
        <f t="shared" si="0"/>
        <v>46539</v>
      </c>
      <c r="AK2" s="16">
        <f t="shared" si="0"/>
        <v>46569</v>
      </c>
      <c r="AL2" s="16">
        <f t="shared" si="0"/>
        <v>46600</v>
      </c>
      <c r="AM2" s="16">
        <f t="shared" si="0"/>
        <v>46631</v>
      </c>
      <c r="AN2" s="16">
        <f t="shared" si="0"/>
        <v>46661</v>
      </c>
      <c r="AO2" s="16">
        <f t="shared" si="0"/>
        <v>46692</v>
      </c>
      <c r="AP2" s="16">
        <f t="shared" si="0"/>
        <v>46722</v>
      </c>
    </row>
    <row r="4" spans="1:42">
      <c r="A4" s="78" t="s">
        <v>203</v>
      </c>
    </row>
    <row r="5" spans="1:42">
      <c r="A5" s="19" t="s">
        <v>200</v>
      </c>
      <c r="B5" s="20"/>
      <c r="C5" s="20"/>
      <c r="D5" s="20"/>
      <c r="E5" s="20"/>
    </row>
    <row r="6" spans="1:42">
      <c r="A6" s="77" t="s">
        <v>201</v>
      </c>
      <c r="B6" s="77"/>
      <c r="C6" s="77"/>
      <c r="D6" s="77"/>
      <c r="E6" s="77"/>
    </row>
    <row r="7" spans="1:42">
      <c r="A7" s="78" t="s">
        <v>204</v>
      </c>
    </row>
    <row r="8" spans="1:42">
      <c r="A8" s="78"/>
    </row>
    <row r="9" spans="1:42">
      <c r="A9" s="78"/>
      <c r="B9" s="18" t="s">
        <v>24</v>
      </c>
      <c r="C9" s="18" t="s">
        <v>25</v>
      </c>
      <c r="D9" s="18" t="s">
        <v>26</v>
      </c>
    </row>
    <row r="10" spans="1:42">
      <c r="A10" s="18" t="s">
        <v>210</v>
      </c>
      <c r="B10" s="21">
        <f>SUM(G10:R10)</f>
        <v>150000</v>
      </c>
      <c r="C10" s="21">
        <f>SUM(S10:AD10)</f>
        <v>270000</v>
      </c>
      <c r="D10" s="21">
        <f>SUM(AE10:AP10)</f>
        <v>348000</v>
      </c>
      <c r="F10" s="18" t="s">
        <v>210</v>
      </c>
      <c r="G10" s="81">
        <v>10000</v>
      </c>
      <c r="H10" s="81">
        <v>10000</v>
      </c>
      <c r="I10" s="81">
        <v>10000</v>
      </c>
      <c r="J10" s="81">
        <v>10000</v>
      </c>
      <c r="K10" s="81">
        <v>10000</v>
      </c>
      <c r="L10" s="81">
        <v>10000</v>
      </c>
      <c r="M10" s="81">
        <v>15000</v>
      </c>
      <c r="N10" s="81">
        <v>15000</v>
      </c>
      <c r="O10" s="81">
        <v>15000</v>
      </c>
      <c r="P10" s="81">
        <v>15000</v>
      </c>
      <c r="Q10" s="81">
        <v>15000</v>
      </c>
      <c r="R10" s="81">
        <v>15000</v>
      </c>
      <c r="S10" s="81">
        <v>20000</v>
      </c>
      <c r="T10" s="81">
        <v>20000</v>
      </c>
      <c r="U10" s="81">
        <v>20000</v>
      </c>
      <c r="V10" s="81">
        <v>20000</v>
      </c>
      <c r="W10" s="81">
        <v>20000</v>
      </c>
      <c r="X10" s="81">
        <v>20000</v>
      </c>
      <c r="Y10" s="81">
        <v>25000</v>
      </c>
      <c r="Z10" s="81">
        <v>25000</v>
      </c>
      <c r="AA10" s="81">
        <v>25000</v>
      </c>
      <c r="AB10" s="81">
        <v>25000</v>
      </c>
      <c r="AC10" s="81">
        <v>25000</v>
      </c>
      <c r="AD10" s="81">
        <v>25000</v>
      </c>
      <c r="AE10" s="81">
        <v>28000</v>
      </c>
      <c r="AF10" s="81">
        <v>28000</v>
      </c>
      <c r="AG10" s="81">
        <v>28000</v>
      </c>
      <c r="AH10" s="81">
        <v>28000</v>
      </c>
      <c r="AI10" s="81">
        <v>28000</v>
      </c>
      <c r="AJ10" s="81">
        <v>28000</v>
      </c>
      <c r="AK10" s="81">
        <v>30000</v>
      </c>
      <c r="AL10" s="81">
        <v>30000</v>
      </c>
      <c r="AM10" s="81">
        <v>30000</v>
      </c>
      <c r="AN10" s="81">
        <v>30000</v>
      </c>
      <c r="AO10" s="81">
        <v>30000</v>
      </c>
      <c r="AP10" s="81">
        <v>30000</v>
      </c>
    </row>
    <row r="12" spans="1:42">
      <c r="F12" s="18" t="s">
        <v>209</v>
      </c>
      <c r="G12" s="81">
        <v>75</v>
      </c>
      <c r="H12" s="81">
        <v>75</v>
      </c>
      <c r="I12" s="81">
        <v>75</v>
      </c>
      <c r="J12" s="81">
        <v>75</v>
      </c>
      <c r="K12" s="81">
        <v>75</v>
      </c>
      <c r="L12" s="81">
        <v>75</v>
      </c>
      <c r="M12" s="81">
        <v>75</v>
      </c>
      <c r="N12" s="81">
        <v>75</v>
      </c>
      <c r="O12" s="81">
        <v>75</v>
      </c>
      <c r="P12" s="81">
        <v>75</v>
      </c>
      <c r="Q12" s="81">
        <v>75</v>
      </c>
      <c r="R12" s="81">
        <v>75</v>
      </c>
      <c r="S12" s="81">
        <v>50</v>
      </c>
      <c r="T12" s="81">
        <v>50</v>
      </c>
      <c r="U12" s="81">
        <v>50</v>
      </c>
      <c r="V12" s="81">
        <v>50</v>
      </c>
      <c r="W12" s="81">
        <v>50</v>
      </c>
      <c r="X12" s="81">
        <v>50</v>
      </c>
      <c r="Y12" s="81">
        <v>50</v>
      </c>
      <c r="Z12" s="81">
        <v>50</v>
      </c>
      <c r="AA12" s="81">
        <v>50</v>
      </c>
      <c r="AB12" s="81">
        <v>50</v>
      </c>
      <c r="AC12" s="81">
        <v>50</v>
      </c>
      <c r="AD12" s="81">
        <v>50</v>
      </c>
      <c r="AE12" s="81">
        <v>40</v>
      </c>
      <c r="AF12" s="81">
        <v>40</v>
      </c>
      <c r="AG12" s="81">
        <v>40</v>
      </c>
      <c r="AH12" s="81">
        <v>40</v>
      </c>
      <c r="AI12" s="81">
        <v>40</v>
      </c>
      <c r="AJ12" s="81">
        <v>40</v>
      </c>
      <c r="AK12" s="81">
        <v>40</v>
      </c>
      <c r="AL12" s="81">
        <v>40</v>
      </c>
      <c r="AM12" s="81">
        <v>40</v>
      </c>
      <c r="AN12" s="81">
        <v>40</v>
      </c>
      <c r="AO12" s="81">
        <v>40</v>
      </c>
      <c r="AP12" s="81">
        <v>40</v>
      </c>
    </row>
    <row r="13" spans="1:42">
      <c r="F13" s="18" t="s">
        <v>211</v>
      </c>
      <c r="G13" s="18">
        <f>ROUND(G10/G12,0)</f>
        <v>133</v>
      </c>
      <c r="H13" s="18">
        <f t="shared" ref="H13:AP13" si="1">ROUND(H10/H12,0)</f>
        <v>133</v>
      </c>
      <c r="I13" s="18">
        <f t="shared" si="1"/>
        <v>133</v>
      </c>
      <c r="J13" s="18">
        <f t="shared" si="1"/>
        <v>133</v>
      </c>
      <c r="K13" s="18">
        <f t="shared" si="1"/>
        <v>133</v>
      </c>
      <c r="L13" s="18">
        <f t="shared" si="1"/>
        <v>133</v>
      </c>
      <c r="M13" s="18">
        <f t="shared" si="1"/>
        <v>200</v>
      </c>
      <c r="N13" s="18">
        <f t="shared" si="1"/>
        <v>200</v>
      </c>
      <c r="O13" s="18">
        <f t="shared" si="1"/>
        <v>200</v>
      </c>
      <c r="P13" s="18">
        <f t="shared" si="1"/>
        <v>200</v>
      </c>
      <c r="Q13" s="18">
        <f t="shared" si="1"/>
        <v>200</v>
      </c>
      <c r="R13" s="18">
        <f t="shared" si="1"/>
        <v>200</v>
      </c>
      <c r="S13" s="18">
        <f t="shared" si="1"/>
        <v>400</v>
      </c>
      <c r="T13" s="18">
        <f t="shared" si="1"/>
        <v>400</v>
      </c>
      <c r="U13" s="18">
        <f t="shared" si="1"/>
        <v>400</v>
      </c>
      <c r="V13" s="18">
        <f t="shared" si="1"/>
        <v>400</v>
      </c>
      <c r="W13" s="18">
        <f t="shared" si="1"/>
        <v>400</v>
      </c>
      <c r="X13" s="18">
        <f t="shared" si="1"/>
        <v>400</v>
      </c>
      <c r="Y13" s="18">
        <f t="shared" si="1"/>
        <v>500</v>
      </c>
      <c r="Z13" s="18">
        <f t="shared" si="1"/>
        <v>500</v>
      </c>
      <c r="AA13" s="18">
        <f t="shared" si="1"/>
        <v>500</v>
      </c>
      <c r="AB13" s="18">
        <f t="shared" si="1"/>
        <v>500</v>
      </c>
      <c r="AC13" s="18">
        <f t="shared" si="1"/>
        <v>500</v>
      </c>
      <c r="AD13" s="18">
        <f t="shared" si="1"/>
        <v>500</v>
      </c>
      <c r="AE13" s="18">
        <f t="shared" si="1"/>
        <v>700</v>
      </c>
      <c r="AF13" s="18">
        <f t="shared" si="1"/>
        <v>700</v>
      </c>
      <c r="AG13" s="18">
        <f t="shared" si="1"/>
        <v>700</v>
      </c>
      <c r="AH13" s="18">
        <f t="shared" si="1"/>
        <v>700</v>
      </c>
      <c r="AI13" s="18">
        <f t="shared" si="1"/>
        <v>700</v>
      </c>
      <c r="AJ13" s="18">
        <f t="shared" si="1"/>
        <v>700</v>
      </c>
      <c r="AK13" s="18">
        <f t="shared" si="1"/>
        <v>750</v>
      </c>
      <c r="AL13" s="18">
        <f t="shared" si="1"/>
        <v>750</v>
      </c>
      <c r="AM13" s="18">
        <f t="shared" si="1"/>
        <v>750</v>
      </c>
      <c r="AN13" s="18">
        <f t="shared" si="1"/>
        <v>750</v>
      </c>
      <c r="AO13" s="18">
        <f t="shared" si="1"/>
        <v>750</v>
      </c>
      <c r="AP13" s="18">
        <f t="shared" si="1"/>
        <v>750</v>
      </c>
    </row>
    <row r="15" spans="1:42">
      <c r="F15" s="18" t="s">
        <v>212</v>
      </c>
      <c r="G15" s="82">
        <v>0.04</v>
      </c>
      <c r="H15" s="82">
        <v>0.04</v>
      </c>
      <c r="I15" s="82">
        <v>0.04</v>
      </c>
      <c r="J15" s="82">
        <v>0.04</v>
      </c>
      <c r="K15" s="82">
        <v>0.04</v>
      </c>
      <c r="L15" s="82">
        <v>0.04</v>
      </c>
      <c r="M15" s="82">
        <v>0.04</v>
      </c>
      <c r="N15" s="82">
        <v>0.04</v>
      </c>
      <c r="O15" s="82">
        <v>0.04</v>
      </c>
      <c r="P15" s="82">
        <v>0.04</v>
      </c>
      <c r="Q15" s="82">
        <v>0.04</v>
      </c>
      <c r="R15" s="82">
        <v>0.04</v>
      </c>
      <c r="S15" s="82">
        <v>0.04</v>
      </c>
      <c r="T15" s="82">
        <v>0.04</v>
      </c>
      <c r="U15" s="82">
        <v>0.04</v>
      </c>
      <c r="V15" s="82">
        <v>0.04</v>
      </c>
      <c r="W15" s="82">
        <v>0.04</v>
      </c>
      <c r="X15" s="82">
        <v>0.04</v>
      </c>
      <c r="Y15" s="82">
        <v>0.04</v>
      </c>
      <c r="Z15" s="82">
        <v>0.04</v>
      </c>
      <c r="AA15" s="82">
        <v>0.04</v>
      </c>
      <c r="AB15" s="82">
        <v>0.04</v>
      </c>
      <c r="AC15" s="82">
        <v>0.04</v>
      </c>
      <c r="AD15" s="82">
        <v>0.04</v>
      </c>
      <c r="AE15" s="82">
        <v>0.04</v>
      </c>
      <c r="AF15" s="82">
        <v>0.04</v>
      </c>
      <c r="AG15" s="82">
        <v>0.04</v>
      </c>
      <c r="AH15" s="82">
        <v>0.04</v>
      </c>
      <c r="AI15" s="82">
        <v>0.04</v>
      </c>
      <c r="AJ15" s="82">
        <v>0.04</v>
      </c>
      <c r="AK15" s="82">
        <v>0.04</v>
      </c>
      <c r="AL15" s="82">
        <v>0.04</v>
      </c>
      <c r="AM15" s="82">
        <v>0.04</v>
      </c>
      <c r="AN15" s="82">
        <v>0.04</v>
      </c>
      <c r="AO15" s="82">
        <v>0.04</v>
      </c>
      <c r="AP15" s="82">
        <v>0.04</v>
      </c>
    </row>
    <row r="16" spans="1:42">
      <c r="F16" s="18" t="s">
        <v>213</v>
      </c>
      <c r="G16" s="18">
        <f>ROUND(G13*G15,0)</f>
        <v>5</v>
      </c>
      <c r="H16" s="18">
        <f t="shared" ref="H16:AP16" si="2">ROUND(H13*H15,0)</f>
        <v>5</v>
      </c>
      <c r="I16" s="18">
        <f t="shared" si="2"/>
        <v>5</v>
      </c>
      <c r="J16" s="18">
        <f t="shared" si="2"/>
        <v>5</v>
      </c>
      <c r="K16" s="18">
        <f t="shared" si="2"/>
        <v>5</v>
      </c>
      <c r="L16" s="18">
        <f t="shared" si="2"/>
        <v>5</v>
      </c>
      <c r="M16" s="18">
        <f t="shared" si="2"/>
        <v>8</v>
      </c>
      <c r="N16" s="18">
        <f t="shared" si="2"/>
        <v>8</v>
      </c>
      <c r="O16" s="18">
        <f t="shared" si="2"/>
        <v>8</v>
      </c>
      <c r="P16" s="18">
        <f t="shared" si="2"/>
        <v>8</v>
      </c>
      <c r="Q16" s="18">
        <f t="shared" si="2"/>
        <v>8</v>
      </c>
      <c r="R16" s="18">
        <f t="shared" si="2"/>
        <v>8</v>
      </c>
      <c r="S16" s="18">
        <f t="shared" si="2"/>
        <v>16</v>
      </c>
      <c r="T16" s="18">
        <f t="shared" si="2"/>
        <v>16</v>
      </c>
      <c r="U16" s="18">
        <f t="shared" si="2"/>
        <v>16</v>
      </c>
      <c r="V16" s="18">
        <f t="shared" si="2"/>
        <v>16</v>
      </c>
      <c r="W16" s="18">
        <f t="shared" si="2"/>
        <v>16</v>
      </c>
      <c r="X16" s="18">
        <f t="shared" si="2"/>
        <v>16</v>
      </c>
      <c r="Y16" s="18">
        <f t="shared" si="2"/>
        <v>20</v>
      </c>
      <c r="Z16" s="18">
        <f t="shared" si="2"/>
        <v>20</v>
      </c>
      <c r="AA16" s="18">
        <f t="shared" si="2"/>
        <v>20</v>
      </c>
      <c r="AB16" s="18">
        <f t="shared" si="2"/>
        <v>20</v>
      </c>
      <c r="AC16" s="18">
        <f t="shared" si="2"/>
        <v>20</v>
      </c>
      <c r="AD16" s="18">
        <f t="shared" si="2"/>
        <v>20</v>
      </c>
      <c r="AE16" s="18">
        <f t="shared" si="2"/>
        <v>28</v>
      </c>
      <c r="AF16" s="18">
        <f t="shared" si="2"/>
        <v>28</v>
      </c>
      <c r="AG16" s="18">
        <f t="shared" si="2"/>
        <v>28</v>
      </c>
      <c r="AH16" s="18">
        <f t="shared" si="2"/>
        <v>28</v>
      </c>
      <c r="AI16" s="18">
        <f t="shared" si="2"/>
        <v>28</v>
      </c>
      <c r="AJ16" s="18">
        <f t="shared" si="2"/>
        <v>28</v>
      </c>
      <c r="AK16" s="18">
        <f t="shared" si="2"/>
        <v>30</v>
      </c>
      <c r="AL16" s="18">
        <f t="shared" si="2"/>
        <v>30</v>
      </c>
      <c r="AM16" s="18">
        <f t="shared" si="2"/>
        <v>30</v>
      </c>
      <c r="AN16" s="18">
        <f t="shared" si="2"/>
        <v>30</v>
      </c>
      <c r="AO16" s="18">
        <f t="shared" si="2"/>
        <v>30</v>
      </c>
      <c r="AP16" s="18">
        <f t="shared" si="2"/>
        <v>30</v>
      </c>
    </row>
    <row r="17" spans="1:42">
      <c r="F17" s="18" t="s">
        <v>214</v>
      </c>
      <c r="G17" s="18">
        <f>ROUNDUP(G16*0.5,0)</f>
        <v>3</v>
      </c>
      <c r="H17" s="18">
        <f>ROUNDUP(H16*0.5,0)+ROUNDDOWN(G16*0.5,0)</f>
        <v>5</v>
      </c>
      <c r="I17" s="18">
        <f t="shared" ref="I17:M17" si="3">ROUNDUP(I16*0.5,0)+ROUNDDOWN(H16*0.5,0)</f>
        <v>5</v>
      </c>
      <c r="J17" s="18">
        <f t="shared" si="3"/>
        <v>5</v>
      </c>
      <c r="K17" s="18">
        <f t="shared" si="3"/>
        <v>5</v>
      </c>
      <c r="L17" s="18">
        <f t="shared" si="3"/>
        <v>5</v>
      </c>
      <c r="M17" s="18">
        <f t="shared" si="3"/>
        <v>6</v>
      </c>
      <c r="N17" s="18">
        <f t="shared" ref="N17" si="4">ROUNDUP(N16*0.5,0)+ROUNDDOWN(M16*0.5,0)</f>
        <v>8</v>
      </c>
      <c r="O17" s="18">
        <f t="shared" ref="O17" si="5">ROUNDUP(O16*0.5,0)+ROUNDDOWN(N16*0.5,0)</f>
        <v>8</v>
      </c>
      <c r="P17" s="18">
        <f t="shared" ref="P17" si="6">ROUNDUP(P16*0.5,0)+ROUNDDOWN(O16*0.5,0)</f>
        <v>8</v>
      </c>
      <c r="Q17" s="18">
        <f t="shared" ref="Q17" si="7">ROUNDUP(Q16*0.5,0)+ROUNDDOWN(P16*0.5,0)</f>
        <v>8</v>
      </c>
      <c r="R17" s="18">
        <f t="shared" ref="R17" si="8">ROUNDUP(R16*0.5,0)+ROUNDDOWN(Q16*0.5,0)</f>
        <v>8</v>
      </c>
      <c r="S17" s="18">
        <f t="shared" ref="S17" si="9">ROUNDUP(S16*0.5,0)+ROUNDDOWN(R16*0.5,0)</f>
        <v>12</v>
      </c>
      <c r="T17" s="18">
        <f t="shared" ref="T17" si="10">ROUNDUP(T16*0.5,0)+ROUNDDOWN(S16*0.5,0)</f>
        <v>16</v>
      </c>
      <c r="U17" s="18">
        <f t="shared" ref="U17" si="11">ROUNDUP(U16*0.5,0)+ROUNDDOWN(T16*0.5,0)</f>
        <v>16</v>
      </c>
      <c r="V17" s="18">
        <f t="shared" ref="V17" si="12">ROUNDUP(V16*0.5,0)+ROUNDDOWN(U16*0.5,0)</f>
        <v>16</v>
      </c>
      <c r="W17" s="18">
        <f t="shared" ref="W17" si="13">ROUNDUP(W16*0.5,0)+ROUNDDOWN(V16*0.5,0)</f>
        <v>16</v>
      </c>
      <c r="X17" s="18">
        <f t="shared" ref="X17" si="14">ROUNDUP(X16*0.5,0)+ROUNDDOWN(W16*0.5,0)</f>
        <v>16</v>
      </c>
      <c r="Y17" s="18">
        <f t="shared" ref="Y17" si="15">ROUNDUP(Y16*0.5,0)+ROUNDDOWN(X16*0.5,0)</f>
        <v>18</v>
      </c>
      <c r="Z17" s="18">
        <f t="shared" ref="Z17" si="16">ROUNDUP(Z16*0.5,0)+ROUNDDOWN(Y16*0.5,0)</f>
        <v>20</v>
      </c>
      <c r="AA17" s="18">
        <f t="shared" ref="AA17" si="17">ROUNDUP(AA16*0.5,0)+ROUNDDOWN(Z16*0.5,0)</f>
        <v>20</v>
      </c>
      <c r="AB17" s="18">
        <f t="shared" ref="AB17" si="18">ROUNDUP(AB16*0.5,0)+ROUNDDOWN(AA16*0.5,0)</f>
        <v>20</v>
      </c>
      <c r="AC17" s="18">
        <f t="shared" ref="AC17" si="19">ROUNDUP(AC16*0.5,0)+ROUNDDOWN(AB16*0.5,0)</f>
        <v>20</v>
      </c>
      <c r="AD17" s="18">
        <f t="shared" ref="AD17" si="20">ROUNDUP(AD16*0.5,0)+ROUNDDOWN(AC16*0.5,0)</f>
        <v>20</v>
      </c>
      <c r="AE17" s="18">
        <f t="shared" ref="AE17" si="21">ROUNDUP(AE16*0.5,0)+ROUNDDOWN(AD16*0.5,0)</f>
        <v>24</v>
      </c>
      <c r="AF17" s="18">
        <f t="shared" ref="AF17" si="22">ROUNDUP(AF16*0.5,0)+ROUNDDOWN(AE16*0.5,0)</f>
        <v>28</v>
      </c>
      <c r="AG17" s="18">
        <f t="shared" ref="AG17" si="23">ROUNDUP(AG16*0.5,0)+ROUNDDOWN(AF16*0.5,0)</f>
        <v>28</v>
      </c>
      <c r="AH17" s="18">
        <f t="shared" ref="AH17" si="24">ROUNDUP(AH16*0.5,0)+ROUNDDOWN(AG16*0.5,0)</f>
        <v>28</v>
      </c>
      <c r="AI17" s="18">
        <f t="shared" ref="AI17" si="25">ROUNDUP(AI16*0.5,0)+ROUNDDOWN(AH16*0.5,0)</f>
        <v>28</v>
      </c>
      <c r="AJ17" s="18">
        <f t="shared" ref="AJ17" si="26">ROUNDUP(AJ16*0.5,0)+ROUNDDOWN(AI16*0.5,0)</f>
        <v>28</v>
      </c>
      <c r="AK17" s="18">
        <f t="shared" ref="AK17" si="27">ROUNDUP(AK16*0.5,0)+ROUNDDOWN(AJ16*0.5,0)</f>
        <v>29</v>
      </c>
      <c r="AL17" s="18">
        <f t="shared" ref="AL17" si="28">ROUNDUP(AL16*0.5,0)+ROUNDDOWN(AK16*0.5,0)</f>
        <v>30</v>
      </c>
      <c r="AM17" s="18">
        <f t="shared" ref="AM17" si="29">ROUNDUP(AM16*0.5,0)+ROUNDDOWN(AL16*0.5,0)</f>
        <v>30</v>
      </c>
      <c r="AN17" s="18">
        <f t="shared" ref="AN17" si="30">ROUNDUP(AN16*0.5,0)+ROUNDDOWN(AM16*0.5,0)</f>
        <v>30</v>
      </c>
      <c r="AO17" s="18">
        <f t="shared" ref="AO17" si="31">ROUNDUP(AO16*0.5,0)+ROUNDDOWN(AN16*0.5,0)</f>
        <v>30</v>
      </c>
      <c r="AP17" s="18">
        <f t="shared" ref="AP17" si="32">ROUNDUP(AP16*0.5,0)+ROUNDDOWN(AO16*0.5,0)</f>
        <v>30</v>
      </c>
    </row>
    <row r="18" spans="1:42">
      <c r="F18" s="78" t="s">
        <v>215</v>
      </c>
    </row>
    <row r="20" spans="1:42">
      <c r="B20" s="18" t="s">
        <v>205</v>
      </c>
    </row>
    <row r="21" spans="1:42">
      <c r="A21" s="18" t="s">
        <v>206</v>
      </c>
      <c r="B21" s="6">
        <v>5000</v>
      </c>
      <c r="E21" s="82">
        <v>0.5</v>
      </c>
      <c r="F21" s="18" t="s">
        <v>206</v>
      </c>
      <c r="G21" s="18">
        <f>ROUND(G$17*$E21,0)</f>
        <v>2</v>
      </c>
      <c r="H21" s="18">
        <f t="shared" ref="H21:AP23" si="33">ROUND(H$17*$E21,0)</f>
        <v>3</v>
      </c>
      <c r="I21" s="18">
        <f t="shared" si="33"/>
        <v>3</v>
      </c>
      <c r="J21" s="18">
        <f t="shared" si="33"/>
        <v>3</v>
      </c>
      <c r="K21" s="18">
        <f t="shared" si="33"/>
        <v>3</v>
      </c>
      <c r="L21" s="18">
        <f t="shared" si="33"/>
        <v>3</v>
      </c>
      <c r="M21" s="18">
        <f t="shared" si="33"/>
        <v>3</v>
      </c>
      <c r="N21" s="18">
        <f t="shared" si="33"/>
        <v>4</v>
      </c>
      <c r="O21" s="18">
        <f t="shared" si="33"/>
        <v>4</v>
      </c>
      <c r="P21" s="18">
        <f t="shared" si="33"/>
        <v>4</v>
      </c>
      <c r="Q21" s="18">
        <f t="shared" si="33"/>
        <v>4</v>
      </c>
      <c r="R21" s="18">
        <f t="shared" si="33"/>
        <v>4</v>
      </c>
      <c r="S21" s="18">
        <f t="shared" si="33"/>
        <v>6</v>
      </c>
      <c r="T21" s="18">
        <f t="shared" si="33"/>
        <v>8</v>
      </c>
      <c r="U21" s="18">
        <f t="shared" si="33"/>
        <v>8</v>
      </c>
      <c r="V21" s="18">
        <f t="shared" si="33"/>
        <v>8</v>
      </c>
      <c r="W21" s="18">
        <f t="shared" si="33"/>
        <v>8</v>
      </c>
      <c r="X21" s="18">
        <f t="shared" si="33"/>
        <v>8</v>
      </c>
      <c r="Y21" s="18">
        <f t="shared" si="33"/>
        <v>9</v>
      </c>
      <c r="Z21" s="18">
        <f t="shared" si="33"/>
        <v>10</v>
      </c>
      <c r="AA21" s="18">
        <f t="shared" si="33"/>
        <v>10</v>
      </c>
      <c r="AB21" s="18">
        <f t="shared" si="33"/>
        <v>10</v>
      </c>
      <c r="AC21" s="18">
        <f t="shared" si="33"/>
        <v>10</v>
      </c>
      <c r="AD21" s="18">
        <f t="shared" si="33"/>
        <v>10</v>
      </c>
      <c r="AE21" s="18">
        <f t="shared" si="33"/>
        <v>12</v>
      </c>
      <c r="AF21" s="18">
        <f t="shared" si="33"/>
        <v>14</v>
      </c>
      <c r="AG21" s="18">
        <f t="shared" si="33"/>
        <v>14</v>
      </c>
      <c r="AH21" s="18">
        <f t="shared" si="33"/>
        <v>14</v>
      </c>
      <c r="AI21" s="18">
        <f t="shared" si="33"/>
        <v>14</v>
      </c>
      <c r="AJ21" s="18">
        <f t="shared" si="33"/>
        <v>14</v>
      </c>
      <c r="AK21" s="18">
        <f t="shared" si="33"/>
        <v>15</v>
      </c>
      <c r="AL21" s="18">
        <f t="shared" si="33"/>
        <v>15</v>
      </c>
      <c r="AM21" s="18">
        <f t="shared" si="33"/>
        <v>15</v>
      </c>
      <c r="AN21" s="18">
        <f t="shared" si="33"/>
        <v>15</v>
      </c>
      <c r="AO21" s="18">
        <f t="shared" si="33"/>
        <v>15</v>
      </c>
      <c r="AP21" s="18">
        <f t="shared" si="33"/>
        <v>15</v>
      </c>
    </row>
    <row r="22" spans="1:42">
      <c r="A22" s="18" t="s">
        <v>207</v>
      </c>
      <c r="B22" s="6">
        <v>7500</v>
      </c>
      <c r="E22" s="82">
        <v>0.35</v>
      </c>
      <c r="F22" s="18" t="s">
        <v>207</v>
      </c>
      <c r="G22" s="18">
        <f t="shared" ref="G22:V23" si="34">ROUND(G$17*$E22,0)</f>
        <v>1</v>
      </c>
      <c r="H22" s="18">
        <f t="shared" si="34"/>
        <v>2</v>
      </c>
      <c r="I22" s="18">
        <f t="shared" si="34"/>
        <v>2</v>
      </c>
      <c r="J22" s="18">
        <f t="shared" si="34"/>
        <v>2</v>
      </c>
      <c r="K22" s="18">
        <f t="shared" si="34"/>
        <v>2</v>
      </c>
      <c r="L22" s="18">
        <f t="shared" si="34"/>
        <v>2</v>
      </c>
      <c r="M22" s="18">
        <f t="shared" si="34"/>
        <v>2</v>
      </c>
      <c r="N22" s="18">
        <f t="shared" si="34"/>
        <v>3</v>
      </c>
      <c r="O22" s="18">
        <f t="shared" si="34"/>
        <v>3</v>
      </c>
      <c r="P22" s="18">
        <f t="shared" si="34"/>
        <v>3</v>
      </c>
      <c r="Q22" s="18">
        <f t="shared" si="34"/>
        <v>3</v>
      </c>
      <c r="R22" s="18">
        <f t="shared" si="34"/>
        <v>3</v>
      </c>
      <c r="S22" s="18">
        <f t="shared" si="34"/>
        <v>4</v>
      </c>
      <c r="T22" s="18">
        <f t="shared" si="34"/>
        <v>6</v>
      </c>
      <c r="U22" s="18">
        <f t="shared" si="34"/>
        <v>6</v>
      </c>
      <c r="V22" s="18">
        <f t="shared" si="34"/>
        <v>6</v>
      </c>
      <c r="W22" s="18">
        <f t="shared" si="33"/>
        <v>6</v>
      </c>
      <c r="X22" s="18">
        <f t="shared" si="33"/>
        <v>6</v>
      </c>
      <c r="Y22" s="18">
        <f t="shared" si="33"/>
        <v>6</v>
      </c>
      <c r="Z22" s="18">
        <f t="shared" si="33"/>
        <v>7</v>
      </c>
      <c r="AA22" s="18">
        <f t="shared" si="33"/>
        <v>7</v>
      </c>
      <c r="AB22" s="18">
        <f t="shared" si="33"/>
        <v>7</v>
      </c>
      <c r="AC22" s="18">
        <f t="shared" si="33"/>
        <v>7</v>
      </c>
      <c r="AD22" s="18">
        <f t="shared" si="33"/>
        <v>7</v>
      </c>
      <c r="AE22" s="18">
        <f t="shared" si="33"/>
        <v>8</v>
      </c>
      <c r="AF22" s="18">
        <f t="shared" si="33"/>
        <v>10</v>
      </c>
      <c r="AG22" s="18">
        <f t="shared" si="33"/>
        <v>10</v>
      </c>
      <c r="AH22" s="18">
        <f t="shared" si="33"/>
        <v>10</v>
      </c>
      <c r="AI22" s="18">
        <f t="shared" si="33"/>
        <v>10</v>
      </c>
      <c r="AJ22" s="18">
        <f t="shared" si="33"/>
        <v>10</v>
      </c>
      <c r="AK22" s="18">
        <f t="shared" si="33"/>
        <v>10</v>
      </c>
      <c r="AL22" s="18">
        <f t="shared" si="33"/>
        <v>11</v>
      </c>
      <c r="AM22" s="18">
        <f t="shared" si="33"/>
        <v>11</v>
      </c>
      <c r="AN22" s="18">
        <f t="shared" si="33"/>
        <v>11</v>
      </c>
      <c r="AO22" s="18">
        <f t="shared" si="33"/>
        <v>11</v>
      </c>
      <c r="AP22" s="18">
        <f t="shared" si="33"/>
        <v>11</v>
      </c>
    </row>
    <row r="23" spans="1:42">
      <c r="A23" s="18" t="s">
        <v>208</v>
      </c>
      <c r="B23" s="6">
        <v>10000</v>
      </c>
      <c r="E23" s="82">
        <v>0.15</v>
      </c>
      <c r="F23" s="18" t="s">
        <v>208</v>
      </c>
      <c r="G23" s="18">
        <f t="shared" si="34"/>
        <v>0</v>
      </c>
      <c r="H23" s="18">
        <f t="shared" si="34"/>
        <v>1</v>
      </c>
      <c r="I23" s="18">
        <f t="shared" si="34"/>
        <v>1</v>
      </c>
      <c r="J23" s="18">
        <f t="shared" si="34"/>
        <v>1</v>
      </c>
      <c r="K23" s="18">
        <f t="shared" si="34"/>
        <v>1</v>
      </c>
      <c r="L23" s="18">
        <f t="shared" si="33"/>
        <v>1</v>
      </c>
      <c r="M23" s="18">
        <f t="shared" si="33"/>
        <v>1</v>
      </c>
      <c r="N23" s="18">
        <f t="shared" si="33"/>
        <v>1</v>
      </c>
      <c r="O23" s="18">
        <f t="shared" si="33"/>
        <v>1</v>
      </c>
      <c r="P23" s="18">
        <f t="shared" si="33"/>
        <v>1</v>
      </c>
      <c r="Q23" s="18">
        <f t="shared" si="33"/>
        <v>1</v>
      </c>
      <c r="R23" s="18">
        <f t="shared" si="33"/>
        <v>1</v>
      </c>
      <c r="S23" s="18">
        <f t="shared" si="33"/>
        <v>2</v>
      </c>
      <c r="T23" s="18">
        <f t="shared" si="33"/>
        <v>2</v>
      </c>
      <c r="U23" s="18">
        <f t="shared" si="33"/>
        <v>2</v>
      </c>
      <c r="V23" s="18">
        <f t="shared" si="33"/>
        <v>2</v>
      </c>
      <c r="W23" s="18">
        <f t="shared" si="33"/>
        <v>2</v>
      </c>
      <c r="X23" s="18">
        <f t="shared" si="33"/>
        <v>2</v>
      </c>
      <c r="Y23" s="18">
        <f t="shared" si="33"/>
        <v>3</v>
      </c>
      <c r="Z23" s="18">
        <f t="shared" si="33"/>
        <v>3</v>
      </c>
      <c r="AA23" s="18">
        <f t="shared" si="33"/>
        <v>3</v>
      </c>
      <c r="AB23" s="18">
        <f t="shared" si="33"/>
        <v>3</v>
      </c>
      <c r="AC23" s="18">
        <f t="shared" si="33"/>
        <v>3</v>
      </c>
      <c r="AD23" s="18">
        <f t="shared" si="33"/>
        <v>3</v>
      </c>
      <c r="AE23" s="18">
        <f t="shared" si="33"/>
        <v>4</v>
      </c>
      <c r="AF23" s="18">
        <f t="shared" si="33"/>
        <v>4</v>
      </c>
      <c r="AG23" s="18">
        <f t="shared" si="33"/>
        <v>4</v>
      </c>
      <c r="AH23" s="18">
        <f t="shared" si="33"/>
        <v>4</v>
      </c>
      <c r="AI23" s="18">
        <f t="shared" si="33"/>
        <v>4</v>
      </c>
      <c r="AJ23" s="18">
        <f t="shared" si="33"/>
        <v>4</v>
      </c>
      <c r="AK23" s="18">
        <f t="shared" si="33"/>
        <v>4</v>
      </c>
      <c r="AL23" s="18">
        <f t="shared" si="33"/>
        <v>5</v>
      </c>
      <c r="AM23" s="18">
        <f t="shared" si="33"/>
        <v>5</v>
      </c>
      <c r="AN23" s="18">
        <f t="shared" si="33"/>
        <v>5</v>
      </c>
      <c r="AO23" s="18">
        <f t="shared" si="33"/>
        <v>5</v>
      </c>
      <c r="AP23" s="18">
        <f t="shared" si="33"/>
        <v>5</v>
      </c>
    </row>
    <row r="24" spans="1:42">
      <c r="F24" s="78" t="s">
        <v>216</v>
      </c>
    </row>
    <row r="25" spans="1:42">
      <c r="I25" s="78" t="s">
        <v>220</v>
      </c>
    </row>
    <row r="26" spans="1:42">
      <c r="F26" s="18" t="s">
        <v>218</v>
      </c>
      <c r="G26" s="21">
        <f>SUMPRODUCT(G21:G23,$B$21:$B$23)/2</f>
        <v>8750</v>
      </c>
      <c r="H26" s="21">
        <f>SUMPRODUCT(H21:H23,$B$21:$B$23)/2</f>
        <v>20000</v>
      </c>
      <c r="I26" s="21">
        <f>(SUMPRODUCT(I21:I23,$B$21:$B$23)+SUMPRODUCT(G21:G23,$B$21:$B$23))/2</f>
        <v>28750</v>
      </c>
      <c r="J26" s="21">
        <f t="shared" ref="J26:AP26" si="35">(SUMPRODUCT(J21:J23,$B$21:$B$23)+SUMPRODUCT(H21:H23,$B$21:$B$23))/2</f>
        <v>40000</v>
      </c>
      <c r="K26" s="21">
        <f t="shared" si="35"/>
        <v>40000</v>
      </c>
      <c r="L26" s="21">
        <f t="shared" si="35"/>
        <v>40000</v>
      </c>
      <c r="M26" s="21">
        <f t="shared" si="35"/>
        <v>40000</v>
      </c>
      <c r="N26" s="21">
        <f t="shared" si="35"/>
        <v>46250</v>
      </c>
      <c r="O26" s="21">
        <f t="shared" si="35"/>
        <v>46250</v>
      </c>
      <c r="P26" s="21">
        <f t="shared" si="35"/>
        <v>52500</v>
      </c>
      <c r="Q26" s="21">
        <f t="shared" si="35"/>
        <v>52500</v>
      </c>
      <c r="R26" s="21">
        <f t="shared" si="35"/>
        <v>52500</v>
      </c>
      <c r="S26" s="21">
        <f t="shared" si="35"/>
        <v>66250</v>
      </c>
      <c r="T26" s="21">
        <f t="shared" si="35"/>
        <v>78750</v>
      </c>
      <c r="U26" s="21">
        <f t="shared" si="35"/>
        <v>92500</v>
      </c>
      <c r="V26" s="21">
        <f t="shared" si="35"/>
        <v>105000</v>
      </c>
      <c r="W26" s="21">
        <f t="shared" si="35"/>
        <v>105000</v>
      </c>
      <c r="X26" s="21">
        <f t="shared" si="35"/>
        <v>105000</v>
      </c>
      <c r="Y26" s="21">
        <f t="shared" si="35"/>
        <v>112500</v>
      </c>
      <c r="Z26" s="21">
        <f t="shared" si="35"/>
        <v>118750</v>
      </c>
      <c r="AA26" s="21">
        <f t="shared" si="35"/>
        <v>126250</v>
      </c>
      <c r="AB26" s="21">
        <f t="shared" si="35"/>
        <v>132500</v>
      </c>
      <c r="AC26" s="21">
        <f t="shared" si="35"/>
        <v>132500</v>
      </c>
      <c r="AD26" s="21">
        <f t="shared" si="35"/>
        <v>132500</v>
      </c>
      <c r="AE26" s="21">
        <f t="shared" si="35"/>
        <v>146250</v>
      </c>
      <c r="AF26" s="21">
        <f t="shared" si="35"/>
        <v>158750</v>
      </c>
      <c r="AG26" s="21">
        <f t="shared" si="35"/>
        <v>172500</v>
      </c>
      <c r="AH26" s="21">
        <f t="shared" si="35"/>
        <v>185000</v>
      </c>
      <c r="AI26" s="21">
        <f t="shared" si="35"/>
        <v>185000</v>
      </c>
      <c r="AJ26" s="21">
        <f t="shared" si="35"/>
        <v>185000</v>
      </c>
      <c r="AK26" s="21">
        <f t="shared" si="35"/>
        <v>187500</v>
      </c>
      <c r="AL26" s="21">
        <f t="shared" si="35"/>
        <v>196250</v>
      </c>
      <c r="AM26" s="21">
        <f t="shared" si="35"/>
        <v>198750</v>
      </c>
      <c r="AN26" s="21">
        <f t="shared" si="35"/>
        <v>207500</v>
      </c>
      <c r="AO26" s="21">
        <f t="shared" si="35"/>
        <v>207500</v>
      </c>
      <c r="AP26" s="21">
        <f t="shared" si="35"/>
        <v>207500</v>
      </c>
    </row>
    <row r="27" spans="1:42">
      <c r="F27" s="78" t="s">
        <v>219</v>
      </c>
    </row>
    <row r="28" spans="1:42">
      <c r="F28" s="78"/>
    </row>
    <row r="29" spans="1:42">
      <c r="A29" s="77" t="s">
        <v>202</v>
      </c>
      <c r="B29" s="77"/>
      <c r="C29" s="77"/>
      <c r="D29" s="77"/>
      <c r="E29" s="77"/>
    </row>
    <row r="30" spans="1:42">
      <c r="A30" s="78" t="s">
        <v>221</v>
      </c>
    </row>
    <row r="31" spans="1:42">
      <c r="A31" s="78"/>
    </row>
    <row r="32" spans="1:42">
      <c r="F32" s="78" t="s">
        <v>225</v>
      </c>
    </row>
    <row r="33" spans="1:42">
      <c r="F33" s="18" t="s">
        <v>224</v>
      </c>
      <c r="G33" s="82">
        <v>0.5</v>
      </c>
      <c r="H33" s="82">
        <v>0.5</v>
      </c>
      <c r="I33" s="82">
        <v>0.5</v>
      </c>
      <c r="J33" s="82">
        <v>0.5</v>
      </c>
      <c r="K33" s="82">
        <v>0.5</v>
      </c>
      <c r="L33" s="82">
        <v>0.5</v>
      </c>
      <c r="M33" s="82">
        <v>0.5</v>
      </c>
      <c r="N33" s="82">
        <v>0.5</v>
      </c>
      <c r="O33" s="82">
        <v>0.5</v>
      </c>
      <c r="P33" s="82">
        <v>0.5</v>
      </c>
      <c r="Q33" s="82">
        <v>0.5</v>
      </c>
      <c r="R33" s="82">
        <v>0.5</v>
      </c>
      <c r="S33" s="82">
        <v>0.6</v>
      </c>
      <c r="T33" s="82">
        <v>0.6</v>
      </c>
      <c r="U33" s="82">
        <v>0.6</v>
      </c>
      <c r="V33" s="82">
        <v>0.6</v>
      </c>
      <c r="W33" s="82">
        <v>0.6</v>
      </c>
      <c r="X33" s="82">
        <v>0.6</v>
      </c>
      <c r="Y33" s="82">
        <v>0.6</v>
      </c>
      <c r="Z33" s="82">
        <v>0.6</v>
      </c>
      <c r="AA33" s="82">
        <v>0.6</v>
      </c>
      <c r="AB33" s="82">
        <v>0.6</v>
      </c>
      <c r="AC33" s="82">
        <v>0.6</v>
      </c>
      <c r="AD33" s="82">
        <v>0.6</v>
      </c>
      <c r="AE33" s="82">
        <v>0.65</v>
      </c>
      <c r="AF33" s="82">
        <v>0.65</v>
      </c>
      <c r="AG33" s="82">
        <v>0.65</v>
      </c>
      <c r="AH33" s="82">
        <v>0.65</v>
      </c>
      <c r="AI33" s="82">
        <v>0.65</v>
      </c>
      <c r="AJ33" s="82">
        <v>0.65</v>
      </c>
      <c r="AK33" s="82">
        <v>0.65</v>
      </c>
      <c r="AL33" s="82">
        <v>0.65</v>
      </c>
      <c r="AM33" s="82">
        <v>0.65</v>
      </c>
      <c r="AN33" s="82">
        <v>0.65</v>
      </c>
      <c r="AO33" s="82">
        <v>0.65</v>
      </c>
      <c r="AP33" s="82">
        <v>0.65</v>
      </c>
    </row>
    <row r="36" spans="1:42">
      <c r="B36" s="18" t="s">
        <v>222</v>
      </c>
      <c r="F36" s="78" t="s">
        <v>229</v>
      </c>
      <c r="N36" s="78"/>
    </row>
    <row r="37" spans="1:42">
      <c r="A37" s="18" t="s">
        <v>206</v>
      </c>
      <c r="B37" s="7">
        <v>10</v>
      </c>
      <c r="F37" s="79" t="s">
        <v>206</v>
      </c>
      <c r="G37" s="83"/>
      <c r="H37" s="83"/>
      <c r="I37" s="83"/>
      <c r="J37" s="80">
        <f t="shared" ref="J37:M39" si="36">I37+ROUND(G21*J$33,0)*$B37</f>
        <v>10</v>
      </c>
      <c r="K37" s="18">
        <f t="shared" si="36"/>
        <v>30</v>
      </c>
      <c r="L37" s="18">
        <f t="shared" si="36"/>
        <v>50</v>
      </c>
      <c r="M37" s="18">
        <f t="shared" si="36"/>
        <v>70</v>
      </c>
      <c r="N37" s="18">
        <f>M37+ROUND(K21*N$33,0)*$B37</f>
        <v>90</v>
      </c>
      <c r="O37" s="18">
        <f t="shared" ref="O37:AP39" si="37">N37+ROUND(L21*O$33,0)*$B37</f>
        <v>110</v>
      </c>
      <c r="P37" s="18">
        <f t="shared" si="37"/>
        <v>130</v>
      </c>
      <c r="Q37" s="18">
        <f t="shared" si="37"/>
        <v>150</v>
      </c>
      <c r="R37" s="18">
        <f t="shared" si="37"/>
        <v>170</v>
      </c>
      <c r="S37" s="18">
        <f t="shared" si="37"/>
        <v>190</v>
      </c>
      <c r="T37" s="18">
        <f t="shared" si="37"/>
        <v>210</v>
      </c>
      <c r="U37" s="18">
        <f t="shared" si="37"/>
        <v>230</v>
      </c>
      <c r="V37" s="18">
        <f t="shared" si="37"/>
        <v>270</v>
      </c>
      <c r="W37" s="18">
        <f t="shared" si="37"/>
        <v>320</v>
      </c>
      <c r="X37" s="18">
        <f t="shared" si="37"/>
        <v>370</v>
      </c>
      <c r="Y37" s="18">
        <f t="shared" si="37"/>
        <v>420</v>
      </c>
      <c r="Z37" s="18">
        <f t="shared" si="37"/>
        <v>470</v>
      </c>
      <c r="AA37" s="18">
        <f t="shared" si="37"/>
        <v>520</v>
      </c>
      <c r="AB37" s="18">
        <f t="shared" si="37"/>
        <v>570</v>
      </c>
      <c r="AC37" s="18">
        <f t="shared" si="37"/>
        <v>630</v>
      </c>
      <c r="AD37" s="18">
        <f t="shared" si="37"/>
        <v>690</v>
      </c>
      <c r="AE37" s="18">
        <f t="shared" si="37"/>
        <v>760</v>
      </c>
      <c r="AF37" s="18">
        <f t="shared" si="37"/>
        <v>830</v>
      </c>
      <c r="AG37" s="18">
        <f t="shared" si="37"/>
        <v>900</v>
      </c>
      <c r="AH37" s="18">
        <f t="shared" si="37"/>
        <v>980</v>
      </c>
      <c r="AI37" s="18">
        <f t="shared" si="37"/>
        <v>1070</v>
      </c>
      <c r="AJ37" s="18">
        <f t="shared" si="37"/>
        <v>1160</v>
      </c>
      <c r="AK37" s="18">
        <f t="shared" si="37"/>
        <v>1250</v>
      </c>
      <c r="AL37" s="18">
        <f t="shared" si="37"/>
        <v>1340</v>
      </c>
      <c r="AM37" s="18">
        <f t="shared" si="37"/>
        <v>1430</v>
      </c>
      <c r="AN37" s="18">
        <f t="shared" si="37"/>
        <v>1530</v>
      </c>
      <c r="AO37" s="18">
        <f t="shared" si="37"/>
        <v>1630</v>
      </c>
      <c r="AP37" s="18">
        <f t="shared" si="37"/>
        <v>1730</v>
      </c>
    </row>
    <row r="38" spans="1:42">
      <c r="A38" s="18" t="s">
        <v>207</v>
      </c>
      <c r="B38" s="7">
        <v>25</v>
      </c>
      <c r="F38" s="79" t="s">
        <v>207</v>
      </c>
      <c r="G38" s="83"/>
      <c r="H38" s="83"/>
      <c r="I38" s="83"/>
      <c r="J38" s="80">
        <f t="shared" si="36"/>
        <v>25</v>
      </c>
      <c r="K38" s="18">
        <f t="shared" si="36"/>
        <v>50</v>
      </c>
      <c r="L38" s="18">
        <f t="shared" si="36"/>
        <v>75</v>
      </c>
      <c r="M38" s="18">
        <f t="shared" si="36"/>
        <v>100</v>
      </c>
      <c r="N38" s="18">
        <f t="shared" ref="N38:N39" si="38">M38+ROUND(K22*N$33,0)*$B38</f>
        <v>125</v>
      </c>
      <c r="O38" s="18">
        <f t="shared" si="37"/>
        <v>150</v>
      </c>
      <c r="P38" s="18">
        <f t="shared" si="37"/>
        <v>175</v>
      </c>
      <c r="Q38" s="18">
        <f t="shared" si="37"/>
        <v>225</v>
      </c>
      <c r="R38" s="18">
        <f t="shared" si="37"/>
        <v>275</v>
      </c>
      <c r="S38" s="18">
        <f t="shared" si="37"/>
        <v>325</v>
      </c>
      <c r="T38" s="18">
        <f t="shared" si="37"/>
        <v>375</v>
      </c>
      <c r="U38" s="18">
        <f t="shared" si="37"/>
        <v>425</v>
      </c>
      <c r="V38" s="18">
        <f t="shared" si="37"/>
        <v>475</v>
      </c>
      <c r="W38" s="18">
        <f t="shared" si="37"/>
        <v>575</v>
      </c>
      <c r="X38" s="18">
        <f t="shared" si="37"/>
        <v>675</v>
      </c>
      <c r="Y38" s="18">
        <f t="shared" si="37"/>
        <v>775</v>
      </c>
      <c r="Z38" s="18">
        <f t="shared" si="37"/>
        <v>875</v>
      </c>
      <c r="AA38" s="18">
        <f t="shared" si="37"/>
        <v>975</v>
      </c>
      <c r="AB38" s="18">
        <f t="shared" si="37"/>
        <v>1075</v>
      </c>
      <c r="AC38" s="18">
        <f t="shared" si="37"/>
        <v>1175</v>
      </c>
      <c r="AD38" s="18">
        <f t="shared" si="37"/>
        <v>1275</v>
      </c>
      <c r="AE38" s="18">
        <f t="shared" si="37"/>
        <v>1400</v>
      </c>
      <c r="AF38" s="18">
        <f t="shared" si="37"/>
        <v>1525</v>
      </c>
      <c r="AG38" s="18">
        <f t="shared" si="37"/>
        <v>1650</v>
      </c>
      <c r="AH38" s="18">
        <f t="shared" si="37"/>
        <v>1775</v>
      </c>
      <c r="AI38" s="18">
        <f t="shared" si="37"/>
        <v>1950</v>
      </c>
      <c r="AJ38" s="18">
        <f t="shared" si="37"/>
        <v>2125</v>
      </c>
      <c r="AK38" s="18">
        <f t="shared" si="37"/>
        <v>2300</v>
      </c>
      <c r="AL38" s="18">
        <f t="shared" si="37"/>
        <v>2475</v>
      </c>
      <c r="AM38" s="18">
        <f t="shared" si="37"/>
        <v>2650</v>
      </c>
      <c r="AN38" s="18">
        <f t="shared" si="37"/>
        <v>2825</v>
      </c>
      <c r="AO38" s="18">
        <f t="shared" si="37"/>
        <v>3000</v>
      </c>
      <c r="AP38" s="18">
        <f t="shared" si="37"/>
        <v>3175</v>
      </c>
    </row>
    <row r="39" spans="1:42">
      <c r="A39" s="18" t="s">
        <v>208</v>
      </c>
      <c r="B39" s="7">
        <v>50</v>
      </c>
      <c r="F39" s="79" t="s">
        <v>208</v>
      </c>
      <c r="G39" s="83"/>
      <c r="H39" s="83"/>
      <c r="I39" s="83"/>
      <c r="J39" s="80">
        <f t="shared" si="36"/>
        <v>0</v>
      </c>
      <c r="K39" s="18">
        <f t="shared" si="36"/>
        <v>50</v>
      </c>
      <c r="L39" s="18">
        <f t="shared" si="36"/>
        <v>100</v>
      </c>
      <c r="M39" s="18">
        <f t="shared" si="36"/>
        <v>150</v>
      </c>
      <c r="N39" s="18">
        <f t="shared" si="38"/>
        <v>200</v>
      </c>
      <c r="O39" s="18">
        <f t="shared" si="37"/>
        <v>250</v>
      </c>
      <c r="P39" s="18">
        <f t="shared" si="37"/>
        <v>300</v>
      </c>
      <c r="Q39" s="18">
        <f t="shared" si="37"/>
        <v>350</v>
      </c>
      <c r="R39" s="18">
        <f t="shared" si="37"/>
        <v>400</v>
      </c>
      <c r="S39" s="18">
        <f t="shared" si="37"/>
        <v>450</v>
      </c>
      <c r="T39" s="18">
        <f t="shared" si="37"/>
        <v>500</v>
      </c>
      <c r="U39" s="18">
        <f t="shared" si="37"/>
        <v>550</v>
      </c>
      <c r="V39" s="18">
        <f t="shared" si="37"/>
        <v>600</v>
      </c>
      <c r="W39" s="18">
        <f t="shared" si="37"/>
        <v>650</v>
      </c>
      <c r="X39" s="18">
        <f t="shared" si="37"/>
        <v>700</v>
      </c>
      <c r="Y39" s="18">
        <f t="shared" si="37"/>
        <v>750</v>
      </c>
      <c r="Z39" s="18">
        <f t="shared" si="37"/>
        <v>800</v>
      </c>
      <c r="AA39" s="18">
        <f t="shared" si="37"/>
        <v>850</v>
      </c>
      <c r="AB39" s="18">
        <f t="shared" si="37"/>
        <v>950</v>
      </c>
      <c r="AC39" s="18">
        <f t="shared" si="37"/>
        <v>1050</v>
      </c>
      <c r="AD39" s="18">
        <f t="shared" si="37"/>
        <v>1150</v>
      </c>
      <c r="AE39" s="18">
        <f t="shared" si="37"/>
        <v>1250</v>
      </c>
      <c r="AF39" s="18">
        <f t="shared" si="37"/>
        <v>1350</v>
      </c>
      <c r="AG39" s="18">
        <f t="shared" si="37"/>
        <v>1450</v>
      </c>
      <c r="AH39" s="18">
        <f t="shared" si="37"/>
        <v>1600</v>
      </c>
      <c r="AI39" s="18">
        <f t="shared" si="37"/>
        <v>1750</v>
      </c>
      <c r="AJ39" s="18">
        <f t="shared" si="37"/>
        <v>1900</v>
      </c>
      <c r="AK39" s="18">
        <f t="shared" si="37"/>
        <v>2050</v>
      </c>
      <c r="AL39" s="18">
        <f t="shared" si="37"/>
        <v>2200</v>
      </c>
      <c r="AM39" s="18">
        <f t="shared" si="37"/>
        <v>2350</v>
      </c>
      <c r="AN39" s="18">
        <f t="shared" si="37"/>
        <v>2500</v>
      </c>
      <c r="AO39" s="18">
        <f t="shared" si="37"/>
        <v>2650</v>
      </c>
      <c r="AP39" s="18">
        <f t="shared" si="37"/>
        <v>2800</v>
      </c>
    </row>
    <row r="40" spans="1:42">
      <c r="A40" s="78" t="s">
        <v>223</v>
      </c>
      <c r="F40" s="78"/>
    </row>
    <row r="42" spans="1:42">
      <c r="A42" s="18" t="s">
        <v>226</v>
      </c>
      <c r="B42" s="6">
        <v>15.99</v>
      </c>
      <c r="C42" s="78" t="s">
        <v>228</v>
      </c>
      <c r="F42" s="18" t="s">
        <v>227</v>
      </c>
      <c r="G42" s="21">
        <f>SUM(G37:G39)*$B$42</f>
        <v>0</v>
      </c>
      <c r="H42" s="21">
        <f t="shared" ref="H42:AP42" si="39">SUM(H37:H39)*$B$42</f>
        <v>0</v>
      </c>
      <c r="I42" s="21">
        <f t="shared" si="39"/>
        <v>0</v>
      </c>
      <c r="J42" s="21">
        <f t="shared" si="39"/>
        <v>559.65</v>
      </c>
      <c r="K42" s="21">
        <f t="shared" si="39"/>
        <v>2078.6999999999998</v>
      </c>
      <c r="L42" s="21">
        <f t="shared" si="39"/>
        <v>3597.75</v>
      </c>
      <c r="M42" s="21">
        <f t="shared" si="39"/>
        <v>5116.8</v>
      </c>
      <c r="N42" s="21">
        <f t="shared" si="39"/>
        <v>6635.85</v>
      </c>
      <c r="O42" s="21">
        <f t="shared" si="39"/>
        <v>8154.9000000000005</v>
      </c>
      <c r="P42" s="21">
        <f t="shared" si="39"/>
        <v>9673.9500000000007</v>
      </c>
      <c r="Q42" s="21">
        <f t="shared" si="39"/>
        <v>11592.75</v>
      </c>
      <c r="R42" s="21">
        <f t="shared" si="39"/>
        <v>13511.55</v>
      </c>
      <c r="S42" s="21">
        <f t="shared" si="39"/>
        <v>15430.35</v>
      </c>
      <c r="T42" s="21">
        <f t="shared" si="39"/>
        <v>17349.150000000001</v>
      </c>
      <c r="U42" s="21">
        <f t="shared" si="39"/>
        <v>19267.95</v>
      </c>
      <c r="V42" s="21">
        <f t="shared" si="39"/>
        <v>21506.55</v>
      </c>
      <c r="W42" s="21">
        <f t="shared" si="39"/>
        <v>24704.55</v>
      </c>
      <c r="X42" s="21">
        <f t="shared" si="39"/>
        <v>27902.55</v>
      </c>
      <c r="Y42" s="21">
        <f t="shared" si="39"/>
        <v>31100.55</v>
      </c>
      <c r="Z42" s="21">
        <f t="shared" si="39"/>
        <v>34298.550000000003</v>
      </c>
      <c r="AA42" s="21">
        <f t="shared" si="39"/>
        <v>37496.550000000003</v>
      </c>
      <c r="AB42" s="21">
        <f t="shared" si="39"/>
        <v>41494.050000000003</v>
      </c>
      <c r="AC42" s="21">
        <f t="shared" si="39"/>
        <v>45651.45</v>
      </c>
      <c r="AD42" s="21">
        <f t="shared" si="39"/>
        <v>49808.85</v>
      </c>
      <c r="AE42" s="21">
        <f t="shared" si="39"/>
        <v>54525.9</v>
      </c>
      <c r="AF42" s="21">
        <f t="shared" si="39"/>
        <v>59242.950000000004</v>
      </c>
      <c r="AG42" s="21">
        <f t="shared" si="39"/>
        <v>63960</v>
      </c>
      <c r="AH42" s="21">
        <f t="shared" si="39"/>
        <v>69636.45</v>
      </c>
      <c r="AI42" s="21">
        <f t="shared" si="39"/>
        <v>76272.3</v>
      </c>
      <c r="AJ42" s="21">
        <f t="shared" si="39"/>
        <v>82908.149999999994</v>
      </c>
      <c r="AK42" s="21">
        <f t="shared" si="39"/>
        <v>89544</v>
      </c>
      <c r="AL42" s="21">
        <f t="shared" si="39"/>
        <v>96179.85</v>
      </c>
      <c r="AM42" s="21">
        <f t="shared" si="39"/>
        <v>102815.7</v>
      </c>
      <c r="AN42" s="21">
        <f t="shared" si="39"/>
        <v>109611.45</v>
      </c>
      <c r="AO42" s="21">
        <f t="shared" si="39"/>
        <v>116407.2</v>
      </c>
      <c r="AP42" s="21">
        <f t="shared" si="39"/>
        <v>123202.95</v>
      </c>
    </row>
    <row r="45" spans="1:42">
      <c r="A45" s="19" t="s">
        <v>23</v>
      </c>
      <c r="B45" s="20"/>
      <c r="C45" s="20"/>
      <c r="D45" s="20"/>
      <c r="E45" s="20"/>
    </row>
    <row r="48" spans="1:42">
      <c r="B48" s="18" t="s">
        <v>24</v>
      </c>
      <c r="C48" s="18" t="s">
        <v>25</v>
      </c>
      <c r="D48" s="18" t="s">
        <v>26</v>
      </c>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row>
    <row r="49" spans="1:42">
      <c r="A49" s="18" t="s">
        <v>193</v>
      </c>
      <c r="B49" s="21">
        <f>SUM(G49:R49)</f>
        <v>467500</v>
      </c>
      <c r="C49" s="21">
        <f>SUM(S49:AD49)</f>
        <v>1307500</v>
      </c>
      <c r="D49" s="21">
        <f>SUM(AE49:AP49)</f>
        <v>2237500</v>
      </c>
      <c r="F49" s="18" t="s">
        <v>193</v>
      </c>
      <c r="G49" s="84">
        <f>G26</f>
        <v>8750</v>
      </c>
      <c r="H49" s="84">
        <f t="shared" ref="H49:AP49" si="40">H26</f>
        <v>20000</v>
      </c>
      <c r="I49" s="84">
        <f t="shared" si="40"/>
        <v>28750</v>
      </c>
      <c r="J49" s="84">
        <f t="shared" si="40"/>
        <v>40000</v>
      </c>
      <c r="K49" s="84">
        <f t="shared" si="40"/>
        <v>40000</v>
      </c>
      <c r="L49" s="84">
        <f t="shared" si="40"/>
        <v>40000</v>
      </c>
      <c r="M49" s="84">
        <f t="shared" si="40"/>
        <v>40000</v>
      </c>
      <c r="N49" s="84">
        <f t="shared" si="40"/>
        <v>46250</v>
      </c>
      <c r="O49" s="84">
        <f t="shared" si="40"/>
        <v>46250</v>
      </c>
      <c r="P49" s="84">
        <f t="shared" si="40"/>
        <v>52500</v>
      </c>
      <c r="Q49" s="84">
        <f t="shared" si="40"/>
        <v>52500</v>
      </c>
      <c r="R49" s="84">
        <f t="shared" si="40"/>
        <v>52500</v>
      </c>
      <c r="S49" s="84">
        <f t="shared" si="40"/>
        <v>66250</v>
      </c>
      <c r="T49" s="84">
        <f t="shared" si="40"/>
        <v>78750</v>
      </c>
      <c r="U49" s="84">
        <f t="shared" si="40"/>
        <v>92500</v>
      </c>
      <c r="V49" s="84">
        <f t="shared" si="40"/>
        <v>105000</v>
      </c>
      <c r="W49" s="84">
        <f t="shared" si="40"/>
        <v>105000</v>
      </c>
      <c r="X49" s="84">
        <f t="shared" si="40"/>
        <v>105000</v>
      </c>
      <c r="Y49" s="84">
        <f t="shared" si="40"/>
        <v>112500</v>
      </c>
      <c r="Z49" s="84">
        <f t="shared" si="40"/>
        <v>118750</v>
      </c>
      <c r="AA49" s="84">
        <f t="shared" si="40"/>
        <v>126250</v>
      </c>
      <c r="AB49" s="84">
        <f t="shared" si="40"/>
        <v>132500</v>
      </c>
      <c r="AC49" s="84">
        <f t="shared" si="40"/>
        <v>132500</v>
      </c>
      <c r="AD49" s="84">
        <f t="shared" si="40"/>
        <v>132500</v>
      </c>
      <c r="AE49" s="84">
        <f t="shared" si="40"/>
        <v>146250</v>
      </c>
      <c r="AF49" s="84">
        <f t="shared" si="40"/>
        <v>158750</v>
      </c>
      <c r="AG49" s="84">
        <f t="shared" si="40"/>
        <v>172500</v>
      </c>
      <c r="AH49" s="84">
        <f t="shared" si="40"/>
        <v>185000</v>
      </c>
      <c r="AI49" s="84">
        <f t="shared" si="40"/>
        <v>185000</v>
      </c>
      <c r="AJ49" s="84">
        <f t="shared" si="40"/>
        <v>185000</v>
      </c>
      <c r="AK49" s="84">
        <f t="shared" si="40"/>
        <v>187500</v>
      </c>
      <c r="AL49" s="84">
        <f t="shared" si="40"/>
        <v>196250</v>
      </c>
      <c r="AM49" s="84">
        <f t="shared" si="40"/>
        <v>198750</v>
      </c>
      <c r="AN49" s="84">
        <f t="shared" si="40"/>
        <v>207500</v>
      </c>
      <c r="AO49" s="84">
        <f t="shared" si="40"/>
        <v>207500</v>
      </c>
      <c r="AP49" s="84">
        <f t="shared" si="40"/>
        <v>207500</v>
      </c>
    </row>
    <row r="50" spans="1:42">
      <c r="A50" s="18" t="s">
        <v>192</v>
      </c>
      <c r="B50" s="21">
        <f>SUM(G50:R50)</f>
        <v>60921.900000000009</v>
      </c>
      <c r="C50" s="21">
        <f>SUM(S50:AD50)</f>
        <v>366011.1</v>
      </c>
      <c r="D50" s="21">
        <f>SUM(AE50:AP50)</f>
        <v>1044306.8999999998</v>
      </c>
      <c r="F50" s="18" t="s">
        <v>192</v>
      </c>
      <c r="G50" s="84">
        <f>G42</f>
        <v>0</v>
      </c>
      <c r="H50" s="84">
        <f t="shared" ref="H50:AP50" si="41">H42</f>
        <v>0</v>
      </c>
      <c r="I50" s="84">
        <f t="shared" si="41"/>
        <v>0</v>
      </c>
      <c r="J50" s="84">
        <f t="shared" si="41"/>
        <v>559.65</v>
      </c>
      <c r="K50" s="84">
        <f t="shared" si="41"/>
        <v>2078.6999999999998</v>
      </c>
      <c r="L50" s="84">
        <f t="shared" si="41"/>
        <v>3597.75</v>
      </c>
      <c r="M50" s="84">
        <f t="shared" si="41"/>
        <v>5116.8</v>
      </c>
      <c r="N50" s="84">
        <f t="shared" si="41"/>
        <v>6635.85</v>
      </c>
      <c r="O50" s="84">
        <f t="shared" si="41"/>
        <v>8154.9000000000005</v>
      </c>
      <c r="P50" s="84">
        <f t="shared" si="41"/>
        <v>9673.9500000000007</v>
      </c>
      <c r="Q50" s="84">
        <f t="shared" si="41"/>
        <v>11592.75</v>
      </c>
      <c r="R50" s="84">
        <f t="shared" si="41"/>
        <v>13511.55</v>
      </c>
      <c r="S50" s="84">
        <f t="shared" si="41"/>
        <v>15430.35</v>
      </c>
      <c r="T50" s="84">
        <f t="shared" si="41"/>
        <v>17349.150000000001</v>
      </c>
      <c r="U50" s="84">
        <f t="shared" si="41"/>
        <v>19267.95</v>
      </c>
      <c r="V50" s="84">
        <f t="shared" si="41"/>
        <v>21506.55</v>
      </c>
      <c r="W50" s="84">
        <f t="shared" si="41"/>
        <v>24704.55</v>
      </c>
      <c r="X50" s="84">
        <f t="shared" si="41"/>
        <v>27902.55</v>
      </c>
      <c r="Y50" s="84">
        <f t="shared" si="41"/>
        <v>31100.55</v>
      </c>
      <c r="Z50" s="84">
        <f t="shared" si="41"/>
        <v>34298.550000000003</v>
      </c>
      <c r="AA50" s="84">
        <f t="shared" si="41"/>
        <v>37496.550000000003</v>
      </c>
      <c r="AB50" s="84">
        <f t="shared" si="41"/>
        <v>41494.050000000003</v>
      </c>
      <c r="AC50" s="84">
        <f t="shared" si="41"/>
        <v>45651.45</v>
      </c>
      <c r="AD50" s="84">
        <f t="shared" si="41"/>
        <v>49808.85</v>
      </c>
      <c r="AE50" s="84">
        <f t="shared" si="41"/>
        <v>54525.9</v>
      </c>
      <c r="AF50" s="84">
        <f t="shared" si="41"/>
        <v>59242.950000000004</v>
      </c>
      <c r="AG50" s="84">
        <f t="shared" si="41"/>
        <v>63960</v>
      </c>
      <c r="AH50" s="84">
        <f t="shared" si="41"/>
        <v>69636.45</v>
      </c>
      <c r="AI50" s="84">
        <f t="shared" si="41"/>
        <v>76272.3</v>
      </c>
      <c r="AJ50" s="84">
        <f t="shared" si="41"/>
        <v>82908.149999999994</v>
      </c>
      <c r="AK50" s="84">
        <f t="shared" si="41"/>
        <v>89544</v>
      </c>
      <c r="AL50" s="84">
        <f t="shared" si="41"/>
        <v>96179.85</v>
      </c>
      <c r="AM50" s="84">
        <f t="shared" si="41"/>
        <v>102815.7</v>
      </c>
      <c r="AN50" s="84">
        <f t="shared" si="41"/>
        <v>109611.45</v>
      </c>
      <c r="AO50" s="84">
        <f t="shared" si="41"/>
        <v>116407.2</v>
      </c>
      <c r="AP50" s="84">
        <f t="shared" si="41"/>
        <v>123202.95</v>
      </c>
    </row>
    <row r="51" spans="1:42" s="17" customFormat="1">
      <c r="A51" s="14" t="s">
        <v>30</v>
      </c>
      <c r="B51" s="22">
        <f>SUM(G51:R51)</f>
        <v>528421.9</v>
      </c>
      <c r="C51" s="22">
        <f>SUM(S51:AD51)</f>
        <v>1673511.1000000003</v>
      </c>
      <c r="D51" s="22">
        <f>SUM(AE51:AP51)</f>
        <v>3281806.9000000008</v>
      </c>
      <c r="E51" s="13"/>
      <c r="F51" s="14" t="s">
        <v>30</v>
      </c>
      <c r="G51" s="25">
        <f>SUM(G49:G50)</f>
        <v>8750</v>
      </c>
      <c r="H51" s="25">
        <f t="shared" ref="H51:AP51" si="42">SUM(H49:H50)</f>
        <v>20000</v>
      </c>
      <c r="I51" s="25">
        <f t="shared" si="42"/>
        <v>28750</v>
      </c>
      <c r="J51" s="25">
        <f t="shared" si="42"/>
        <v>40559.65</v>
      </c>
      <c r="K51" s="25">
        <f t="shared" si="42"/>
        <v>42078.7</v>
      </c>
      <c r="L51" s="25">
        <f t="shared" si="42"/>
        <v>43597.75</v>
      </c>
      <c r="M51" s="25">
        <f t="shared" si="42"/>
        <v>45116.800000000003</v>
      </c>
      <c r="N51" s="25">
        <f t="shared" si="42"/>
        <v>52885.85</v>
      </c>
      <c r="O51" s="25">
        <f t="shared" si="42"/>
        <v>54404.9</v>
      </c>
      <c r="P51" s="25">
        <f t="shared" si="42"/>
        <v>62173.95</v>
      </c>
      <c r="Q51" s="25">
        <f t="shared" si="42"/>
        <v>64092.75</v>
      </c>
      <c r="R51" s="25">
        <f t="shared" si="42"/>
        <v>66011.55</v>
      </c>
      <c r="S51" s="25">
        <f t="shared" si="42"/>
        <v>81680.350000000006</v>
      </c>
      <c r="T51" s="25">
        <f t="shared" si="42"/>
        <v>96099.15</v>
      </c>
      <c r="U51" s="25">
        <f t="shared" si="42"/>
        <v>111767.95</v>
      </c>
      <c r="V51" s="25">
        <f t="shared" si="42"/>
        <v>126506.55</v>
      </c>
      <c r="W51" s="25">
        <f t="shared" si="42"/>
        <v>129704.55</v>
      </c>
      <c r="X51" s="25">
        <f t="shared" si="42"/>
        <v>132902.54999999999</v>
      </c>
      <c r="Y51" s="25">
        <f t="shared" si="42"/>
        <v>143600.54999999999</v>
      </c>
      <c r="Z51" s="25">
        <f t="shared" si="42"/>
        <v>153048.54999999999</v>
      </c>
      <c r="AA51" s="25">
        <f t="shared" si="42"/>
        <v>163746.54999999999</v>
      </c>
      <c r="AB51" s="25">
        <f t="shared" si="42"/>
        <v>173994.05</v>
      </c>
      <c r="AC51" s="25">
        <f t="shared" si="42"/>
        <v>178151.45</v>
      </c>
      <c r="AD51" s="25">
        <f t="shared" si="42"/>
        <v>182308.85</v>
      </c>
      <c r="AE51" s="25">
        <f t="shared" si="42"/>
        <v>200775.9</v>
      </c>
      <c r="AF51" s="25">
        <f t="shared" si="42"/>
        <v>217992.95</v>
      </c>
      <c r="AG51" s="25">
        <f t="shared" si="42"/>
        <v>236460</v>
      </c>
      <c r="AH51" s="25">
        <f t="shared" si="42"/>
        <v>254636.45</v>
      </c>
      <c r="AI51" s="25">
        <f t="shared" si="42"/>
        <v>261272.3</v>
      </c>
      <c r="AJ51" s="25">
        <f t="shared" si="42"/>
        <v>267908.15000000002</v>
      </c>
      <c r="AK51" s="25">
        <f t="shared" si="42"/>
        <v>277044</v>
      </c>
      <c r="AL51" s="25">
        <f t="shared" si="42"/>
        <v>292429.84999999998</v>
      </c>
      <c r="AM51" s="25">
        <f t="shared" si="42"/>
        <v>301565.7</v>
      </c>
      <c r="AN51" s="25">
        <f t="shared" si="42"/>
        <v>317111.45</v>
      </c>
      <c r="AO51" s="25">
        <f t="shared" si="42"/>
        <v>323907.20000000001</v>
      </c>
      <c r="AP51" s="25">
        <f t="shared" si="42"/>
        <v>330702.95</v>
      </c>
    </row>
    <row r="53" spans="1:42">
      <c r="A53" s="19" t="s">
        <v>27</v>
      </c>
      <c r="B53" s="20"/>
      <c r="C53" s="20"/>
      <c r="D53" s="20"/>
      <c r="E53" s="20"/>
    </row>
    <row r="54" spans="1:42">
      <c r="A54" s="78" t="s">
        <v>230</v>
      </c>
    </row>
    <row r="56" spans="1:42">
      <c r="A56" s="77" t="s">
        <v>201</v>
      </c>
      <c r="B56" s="77"/>
      <c r="C56" s="77"/>
      <c r="D56" s="77"/>
      <c r="E56" s="77"/>
    </row>
    <row r="58" spans="1:42">
      <c r="A58" s="18" t="s">
        <v>75</v>
      </c>
      <c r="B58" s="6">
        <v>600</v>
      </c>
      <c r="F58" s="18" t="s">
        <v>75</v>
      </c>
      <c r="G58" s="21">
        <f>SUM(G21:G23)*$B58</f>
        <v>1800</v>
      </c>
      <c r="H58" s="21">
        <f t="shared" ref="H58:J58" si="43">SUM(H21:H23)*$B58</f>
        <v>3600</v>
      </c>
      <c r="I58" s="21">
        <f t="shared" si="43"/>
        <v>3600</v>
      </c>
      <c r="J58" s="21">
        <f t="shared" si="43"/>
        <v>3600</v>
      </c>
      <c r="K58" s="21">
        <f t="shared" ref="K58:AP58" si="44">SUM(K21:K23)*$B58</f>
        <v>3600</v>
      </c>
      <c r="L58" s="21">
        <f t="shared" si="44"/>
        <v>3600</v>
      </c>
      <c r="M58" s="21">
        <f t="shared" si="44"/>
        <v>3600</v>
      </c>
      <c r="N58" s="21">
        <f t="shared" si="44"/>
        <v>4800</v>
      </c>
      <c r="O58" s="21">
        <f t="shared" si="44"/>
        <v>4800</v>
      </c>
      <c r="P58" s="21">
        <f t="shared" si="44"/>
        <v>4800</v>
      </c>
      <c r="Q58" s="21">
        <f t="shared" si="44"/>
        <v>4800</v>
      </c>
      <c r="R58" s="21">
        <f t="shared" si="44"/>
        <v>4800</v>
      </c>
      <c r="S58" s="21">
        <f t="shared" si="44"/>
        <v>7200</v>
      </c>
      <c r="T58" s="21">
        <f t="shared" si="44"/>
        <v>9600</v>
      </c>
      <c r="U58" s="21">
        <f t="shared" si="44"/>
        <v>9600</v>
      </c>
      <c r="V58" s="21">
        <f t="shared" si="44"/>
        <v>9600</v>
      </c>
      <c r="W58" s="21">
        <f t="shared" si="44"/>
        <v>9600</v>
      </c>
      <c r="X58" s="21">
        <f t="shared" si="44"/>
        <v>9600</v>
      </c>
      <c r="Y58" s="21">
        <f t="shared" si="44"/>
        <v>10800</v>
      </c>
      <c r="Z58" s="21">
        <f t="shared" si="44"/>
        <v>12000</v>
      </c>
      <c r="AA58" s="21">
        <f t="shared" si="44"/>
        <v>12000</v>
      </c>
      <c r="AB58" s="21">
        <f t="shared" si="44"/>
        <v>12000</v>
      </c>
      <c r="AC58" s="21">
        <f t="shared" si="44"/>
        <v>12000</v>
      </c>
      <c r="AD58" s="21">
        <f t="shared" si="44"/>
        <v>12000</v>
      </c>
      <c r="AE58" s="21">
        <f t="shared" si="44"/>
        <v>14400</v>
      </c>
      <c r="AF58" s="21">
        <f t="shared" si="44"/>
        <v>16800</v>
      </c>
      <c r="AG58" s="21">
        <f t="shared" si="44"/>
        <v>16800</v>
      </c>
      <c r="AH58" s="21">
        <f t="shared" si="44"/>
        <v>16800</v>
      </c>
      <c r="AI58" s="21">
        <f t="shared" si="44"/>
        <v>16800</v>
      </c>
      <c r="AJ58" s="21">
        <f t="shared" si="44"/>
        <v>16800</v>
      </c>
      <c r="AK58" s="21">
        <f t="shared" si="44"/>
        <v>17400</v>
      </c>
      <c r="AL58" s="21">
        <f t="shared" si="44"/>
        <v>18600</v>
      </c>
      <c r="AM58" s="21">
        <f t="shared" si="44"/>
        <v>18600</v>
      </c>
      <c r="AN58" s="21">
        <f t="shared" si="44"/>
        <v>18600</v>
      </c>
      <c r="AO58" s="21">
        <f t="shared" si="44"/>
        <v>18600</v>
      </c>
      <c r="AP58" s="21">
        <f t="shared" si="44"/>
        <v>18600</v>
      </c>
    </row>
    <row r="59" spans="1:42">
      <c r="A59" s="78" t="s">
        <v>231</v>
      </c>
      <c r="F59" s="78" t="s">
        <v>28</v>
      </c>
    </row>
    <row r="61" spans="1:42">
      <c r="A61" s="18" t="s">
        <v>232</v>
      </c>
      <c r="B61" s="6">
        <v>1200</v>
      </c>
      <c r="F61" s="18" t="s">
        <v>232</v>
      </c>
      <c r="G61" s="83"/>
      <c r="H61" s="83"/>
      <c r="I61" s="83"/>
      <c r="J61" s="21">
        <f>SUM(G21:G23)*$B61</f>
        <v>3600</v>
      </c>
      <c r="K61" s="21">
        <f t="shared" ref="K61:AP61" si="45">SUM(H21:H23)*$B61</f>
        <v>7200</v>
      </c>
      <c r="L61" s="21">
        <f t="shared" si="45"/>
        <v>7200</v>
      </c>
      <c r="M61" s="21">
        <f t="shared" si="45"/>
        <v>7200</v>
      </c>
      <c r="N61" s="21">
        <f t="shared" si="45"/>
        <v>7200</v>
      </c>
      <c r="O61" s="21">
        <f t="shared" si="45"/>
        <v>7200</v>
      </c>
      <c r="P61" s="21">
        <f t="shared" si="45"/>
        <v>7200</v>
      </c>
      <c r="Q61" s="21">
        <f t="shared" si="45"/>
        <v>9600</v>
      </c>
      <c r="R61" s="21">
        <f t="shared" si="45"/>
        <v>9600</v>
      </c>
      <c r="S61" s="21">
        <f t="shared" si="45"/>
        <v>9600</v>
      </c>
      <c r="T61" s="21">
        <f t="shared" si="45"/>
        <v>9600</v>
      </c>
      <c r="U61" s="21">
        <f t="shared" si="45"/>
        <v>9600</v>
      </c>
      <c r="V61" s="21">
        <f t="shared" si="45"/>
        <v>14400</v>
      </c>
      <c r="W61" s="21">
        <f t="shared" si="45"/>
        <v>19200</v>
      </c>
      <c r="X61" s="21">
        <f t="shared" si="45"/>
        <v>19200</v>
      </c>
      <c r="Y61" s="21">
        <f t="shared" si="45"/>
        <v>19200</v>
      </c>
      <c r="Z61" s="21">
        <f t="shared" si="45"/>
        <v>19200</v>
      </c>
      <c r="AA61" s="21">
        <f t="shared" si="45"/>
        <v>19200</v>
      </c>
      <c r="AB61" s="21">
        <f t="shared" si="45"/>
        <v>21600</v>
      </c>
      <c r="AC61" s="21">
        <f t="shared" si="45"/>
        <v>24000</v>
      </c>
      <c r="AD61" s="21">
        <f t="shared" si="45"/>
        <v>24000</v>
      </c>
      <c r="AE61" s="21">
        <f t="shared" si="45"/>
        <v>24000</v>
      </c>
      <c r="AF61" s="21">
        <f t="shared" si="45"/>
        <v>24000</v>
      </c>
      <c r="AG61" s="21">
        <f t="shared" si="45"/>
        <v>24000</v>
      </c>
      <c r="AH61" s="21">
        <f t="shared" si="45"/>
        <v>28800</v>
      </c>
      <c r="AI61" s="21">
        <f t="shared" si="45"/>
        <v>33600</v>
      </c>
      <c r="AJ61" s="21">
        <f t="shared" si="45"/>
        <v>33600</v>
      </c>
      <c r="AK61" s="21">
        <f t="shared" si="45"/>
        <v>33600</v>
      </c>
      <c r="AL61" s="21">
        <f t="shared" si="45"/>
        <v>33600</v>
      </c>
      <c r="AM61" s="21">
        <f t="shared" si="45"/>
        <v>33600</v>
      </c>
      <c r="AN61" s="21">
        <f t="shared" si="45"/>
        <v>34800</v>
      </c>
      <c r="AO61" s="21">
        <f t="shared" si="45"/>
        <v>37200</v>
      </c>
      <c r="AP61" s="21">
        <f t="shared" si="45"/>
        <v>37200</v>
      </c>
    </row>
    <row r="62" spans="1:42">
      <c r="A62" s="78" t="s">
        <v>233</v>
      </c>
      <c r="F62" s="78" t="s">
        <v>234</v>
      </c>
    </row>
    <row r="64" spans="1:42">
      <c r="A64" s="77" t="s">
        <v>202</v>
      </c>
      <c r="B64" s="77"/>
      <c r="C64" s="77"/>
      <c r="D64" s="77"/>
      <c r="E64" s="77"/>
    </row>
    <row r="66" spans="1:42">
      <c r="A66" s="18" t="s">
        <v>235</v>
      </c>
      <c r="B66" s="6">
        <v>3</v>
      </c>
      <c r="C66" s="78" t="s">
        <v>236</v>
      </c>
      <c r="F66" s="18" t="s">
        <v>235</v>
      </c>
      <c r="G66" s="83"/>
      <c r="H66" s="83"/>
      <c r="I66" s="83"/>
      <c r="J66" s="21">
        <f>SUM(J37:J39)*$B$66</f>
        <v>105</v>
      </c>
      <c r="K66" s="21">
        <f t="shared" ref="K66:AP66" si="46">SUM(K37:K39)*$B$66</f>
        <v>390</v>
      </c>
      <c r="L66" s="21">
        <f t="shared" si="46"/>
        <v>675</v>
      </c>
      <c r="M66" s="21">
        <f t="shared" si="46"/>
        <v>960</v>
      </c>
      <c r="N66" s="21">
        <f t="shared" si="46"/>
        <v>1245</v>
      </c>
      <c r="O66" s="21">
        <f t="shared" si="46"/>
        <v>1530</v>
      </c>
      <c r="P66" s="21">
        <f t="shared" si="46"/>
        <v>1815</v>
      </c>
      <c r="Q66" s="21">
        <f t="shared" si="46"/>
        <v>2175</v>
      </c>
      <c r="R66" s="21">
        <f t="shared" si="46"/>
        <v>2535</v>
      </c>
      <c r="S66" s="21">
        <f t="shared" si="46"/>
        <v>2895</v>
      </c>
      <c r="T66" s="21">
        <f t="shared" si="46"/>
        <v>3255</v>
      </c>
      <c r="U66" s="21">
        <f t="shared" si="46"/>
        <v>3615</v>
      </c>
      <c r="V66" s="21">
        <f t="shared" si="46"/>
        <v>4035</v>
      </c>
      <c r="W66" s="21">
        <f t="shared" si="46"/>
        <v>4635</v>
      </c>
      <c r="X66" s="21">
        <f t="shared" si="46"/>
        <v>5235</v>
      </c>
      <c r="Y66" s="21">
        <f t="shared" si="46"/>
        <v>5835</v>
      </c>
      <c r="Z66" s="21">
        <f t="shared" si="46"/>
        <v>6435</v>
      </c>
      <c r="AA66" s="21">
        <f t="shared" si="46"/>
        <v>7035</v>
      </c>
      <c r="AB66" s="21">
        <f t="shared" si="46"/>
        <v>7785</v>
      </c>
      <c r="AC66" s="21">
        <f t="shared" si="46"/>
        <v>8565</v>
      </c>
      <c r="AD66" s="21">
        <f t="shared" si="46"/>
        <v>9345</v>
      </c>
      <c r="AE66" s="21">
        <f t="shared" si="46"/>
        <v>10230</v>
      </c>
      <c r="AF66" s="21">
        <f t="shared" si="46"/>
        <v>11115</v>
      </c>
      <c r="AG66" s="21">
        <f t="shared" si="46"/>
        <v>12000</v>
      </c>
      <c r="AH66" s="21">
        <f t="shared" si="46"/>
        <v>13065</v>
      </c>
      <c r="AI66" s="21">
        <f t="shared" si="46"/>
        <v>14310</v>
      </c>
      <c r="AJ66" s="21">
        <f t="shared" si="46"/>
        <v>15555</v>
      </c>
      <c r="AK66" s="21">
        <f t="shared" si="46"/>
        <v>16800</v>
      </c>
      <c r="AL66" s="21">
        <f t="shared" si="46"/>
        <v>18045</v>
      </c>
      <c r="AM66" s="21">
        <f t="shared" si="46"/>
        <v>19290</v>
      </c>
      <c r="AN66" s="21">
        <f t="shared" si="46"/>
        <v>20565</v>
      </c>
      <c r="AO66" s="21">
        <f t="shared" si="46"/>
        <v>21840</v>
      </c>
      <c r="AP66" s="21">
        <f t="shared" si="46"/>
        <v>23115</v>
      </c>
    </row>
    <row r="67" spans="1:42">
      <c r="F67" s="78" t="s">
        <v>28</v>
      </c>
    </row>
    <row r="69" spans="1:42">
      <c r="B69" s="18" t="s">
        <v>24</v>
      </c>
      <c r="C69" s="18" t="s">
        <v>25</v>
      </c>
      <c r="D69" s="18" t="s">
        <v>26</v>
      </c>
    </row>
    <row r="70" spans="1:42">
      <c r="A70" s="14" t="s">
        <v>28</v>
      </c>
      <c r="B70" s="22">
        <f>SUM(G70:R70)</f>
        <v>58830</v>
      </c>
      <c r="C70" s="22">
        <f>SUM(S70:AD70)</f>
        <v>194670</v>
      </c>
      <c r="D70" s="22">
        <f>SUM(AE70:AP70)</f>
        <v>404730</v>
      </c>
      <c r="F70" s="14" t="s">
        <v>28</v>
      </c>
      <c r="G70" s="25">
        <f>G58+G66</f>
        <v>1800</v>
      </c>
      <c r="H70" s="25">
        <f t="shared" ref="H70:AP70" si="47">H58+H66</f>
        <v>3600</v>
      </c>
      <c r="I70" s="25">
        <f t="shared" si="47"/>
        <v>3600</v>
      </c>
      <c r="J70" s="25">
        <f t="shared" si="47"/>
        <v>3705</v>
      </c>
      <c r="K70" s="25">
        <f t="shared" si="47"/>
        <v>3990</v>
      </c>
      <c r="L70" s="25">
        <f t="shared" si="47"/>
        <v>4275</v>
      </c>
      <c r="M70" s="25">
        <f t="shared" si="47"/>
        <v>4560</v>
      </c>
      <c r="N70" s="25">
        <f t="shared" si="47"/>
        <v>6045</v>
      </c>
      <c r="O70" s="25">
        <f t="shared" si="47"/>
        <v>6330</v>
      </c>
      <c r="P70" s="25">
        <f t="shared" si="47"/>
        <v>6615</v>
      </c>
      <c r="Q70" s="25">
        <f t="shared" si="47"/>
        <v>6975</v>
      </c>
      <c r="R70" s="25">
        <f t="shared" si="47"/>
        <v>7335</v>
      </c>
      <c r="S70" s="25">
        <f t="shared" si="47"/>
        <v>10095</v>
      </c>
      <c r="T70" s="25">
        <f t="shared" si="47"/>
        <v>12855</v>
      </c>
      <c r="U70" s="25">
        <f t="shared" si="47"/>
        <v>13215</v>
      </c>
      <c r="V70" s="25">
        <f t="shared" si="47"/>
        <v>13635</v>
      </c>
      <c r="W70" s="25">
        <f t="shared" si="47"/>
        <v>14235</v>
      </c>
      <c r="X70" s="25">
        <f t="shared" si="47"/>
        <v>14835</v>
      </c>
      <c r="Y70" s="25">
        <f t="shared" si="47"/>
        <v>16635</v>
      </c>
      <c r="Z70" s="25">
        <f t="shared" si="47"/>
        <v>18435</v>
      </c>
      <c r="AA70" s="25">
        <f t="shared" si="47"/>
        <v>19035</v>
      </c>
      <c r="AB70" s="25">
        <f t="shared" si="47"/>
        <v>19785</v>
      </c>
      <c r="AC70" s="25">
        <f t="shared" si="47"/>
        <v>20565</v>
      </c>
      <c r="AD70" s="25">
        <f t="shared" si="47"/>
        <v>21345</v>
      </c>
      <c r="AE70" s="25">
        <f t="shared" si="47"/>
        <v>24630</v>
      </c>
      <c r="AF70" s="25">
        <f t="shared" si="47"/>
        <v>27915</v>
      </c>
      <c r="AG70" s="25">
        <f t="shared" si="47"/>
        <v>28800</v>
      </c>
      <c r="AH70" s="25">
        <f t="shared" si="47"/>
        <v>29865</v>
      </c>
      <c r="AI70" s="25">
        <f t="shared" si="47"/>
        <v>31110</v>
      </c>
      <c r="AJ70" s="25">
        <f t="shared" si="47"/>
        <v>32355</v>
      </c>
      <c r="AK70" s="25">
        <f t="shared" si="47"/>
        <v>34200</v>
      </c>
      <c r="AL70" s="25">
        <f t="shared" si="47"/>
        <v>36645</v>
      </c>
      <c r="AM70" s="25">
        <f t="shared" si="47"/>
        <v>37890</v>
      </c>
      <c r="AN70" s="25">
        <f t="shared" si="47"/>
        <v>39165</v>
      </c>
      <c r="AO70" s="25">
        <f t="shared" si="47"/>
        <v>40440</v>
      </c>
      <c r="AP70" s="25">
        <f t="shared" si="47"/>
        <v>41715</v>
      </c>
    </row>
    <row r="71" spans="1:42">
      <c r="A71" s="14" t="s">
        <v>29</v>
      </c>
      <c r="B71" s="22">
        <f>SUM(G71:R71)</f>
        <v>66000</v>
      </c>
      <c r="C71" s="22">
        <f>SUM(S71:AD71)</f>
        <v>208800</v>
      </c>
      <c r="D71" s="22">
        <f>SUM(AE71:AP71)</f>
        <v>378000</v>
      </c>
      <c r="F71" s="14" t="s">
        <v>29</v>
      </c>
      <c r="G71" s="25">
        <f>G61</f>
        <v>0</v>
      </c>
      <c r="H71" s="25">
        <f t="shared" ref="H71:AP71" si="48">H61</f>
        <v>0</v>
      </c>
      <c r="I71" s="25">
        <f t="shared" si="48"/>
        <v>0</v>
      </c>
      <c r="J71" s="25">
        <f t="shared" si="48"/>
        <v>3600</v>
      </c>
      <c r="K71" s="25">
        <f t="shared" si="48"/>
        <v>7200</v>
      </c>
      <c r="L71" s="25">
        <f t="shared" si="48"/>
        <v>7200</v>
      </c>
      <c r="M71" s="25">
        <f t="shared" si="48"/>
        <v>7200</v>
      </c>
      <c r="N71" s="25">
        <f t="shared" si="48"/>
        <v>7200</v>
      </c>
      <c r="O71" s="25">
        <f t="shared" si="48"/>
        <v>7200</v>
      </c>
      <c r="P71" s="25">
        <f t="shared" si="48"/>
        <v>7200</v>
      </c>
      <c r="Q71" s="25">
        <f t="shared" si="48"/>
        <v>9600</v>
      </c>
      <c r="R71" s="25">
        <f t="shared" si="48"/>
        <v>9600</v>
      </c>
      <c r="S71" s="25">
        <f t="shared" si="48"/>
        <v>9600</v>
      </c>
      <c r="T71" s="25">
        <f t="shared" si="48"/>
        <v>9600</v>
      </c>
      <c r="U71" s="25">
        <f t="shared" si="48"/>
        <v>9600</v>
      </c>
      <c r="V71" s="25">
        <f t="shared" si="48"/>
        <v>14400</v>
      </c>
      <c r="W71" s="25">
        <f t="shared" si="48"/>
        <v>19200</v>
      </c>
      <c r="X71" s="25">
        <f t="shared" si="48"/>
        <v>19200</v>
      </c>
      <c r="Y71" s="25">
        <f t="shared" si="48"/>
        <v>19200</v>
      </c>
      <c r="Z71" s="25">
        <f t="shared" si="48"/>
        <v>19200</v>
      </c>
      <c r="AA71" s="25">
        <f t="shared" si="48"/>
        <v>19200</v>
      </c>
      <c r="AB71" s="25">
        <f t="shared" si="48"/>
        <v>21600</v>
      </c>
      <c r="AC71" s="25">
        <f t="shared" si="48"/>
        <v>24000</v>
      </c>
      <c r="AD71" s="25">
        <f t="shared" si="48"/>
        <v>24000</v>
      </c>
      <c r="AE71" s="25">
        <f t="shared" si="48"/>
        <v>24000</v>
      </c>
      <c r="AF71" s="25">
        <f t="shared" si="48"/>
        <v>24000</v>
      </c>
      <c r="AG71" s="25">
        <f t="shared" si="48"/>
        <v>24000</v>
      </c>
      <c r="AH71" s="25">
        <f t="shared" si="48"/>
        <v>28800</v>
      </c>
      <c r="AI71" s="25">
        <f t="shared" si="48"/>
        <v>33600</v>
      </c>
      <c r="AJ71" s="25">
        <f t="shared" si="48"/>
        <v>33600</v>
      </c>
      <c r="AK71" s="25">
        <f t="shared" si="48"/>
        <v>33600</v>
      </c>
      <c r="AL71" s="25">
        <f t="shared" si="48"/>
        <v>33600</v>
      </c>
      <c r="AM71" s="25">
        <f t="shared" si="48"/>
        <v>33600</v>
      </c>
      <c r="AN71" s="25">
        <f t="shared" si="48"/>
        <v>34800</v>
      </c>
      <c r="AO71" s="25">
        <f t="shared" si="48"/>
        <v>37200</v>
      </c>
      <c r="AP71" s="25">
        <f t="shared" si="48"/>
        <v>37200</v>
      </c>
    </row>
    <row r="77" spans="1:42" ht="30" customHeight="1">
      <c r="B77" s="133" t="s">
        <v>237</v>
      </c>
      <c r="C77" s="133"/>
      <c r="D77" s="133"/>
    </row>
    <row r="79" spans="1:42" s="74" customFormat="1"/>
    <row r="80" spans="1:42" s="75" customFormat="1">
      <c r="B80" s="75" t="s">
        <v>197</v>
      </c>
      <c r="C80" s="76">
        <v>1</v>
      </c>
      <c r="D80" s="76">
        <v>2</v>
      </c>
      <c r="E80" s="76">
        <v>3</v>
      </c>
      <c r="F80" s="76">
        <v>4</v>
      </c>
      <c r="G80" s="76">
        <v>5</v>
      </c>
      <c r="H80" s="76">
        <v>6</v>
      </c>
      <c r="I80" s="76">
        <v>7</v>
      </c>
      <c r="J80" s="76">
        <v>8</v>
      </c>
      <c r="K80" s="76">
        <v>9</v>
      </c>
      <c r="L80" s="76"/>
    </row>
    <row r="81" spans="2:12" s="75" customFormat="1">
      <c r="B81" s="75" t="s">
        <v>196</v>
      </c>
      <c r="C81" s="76" t="s">
        <v>195</v>
      </c>
      <c r="D81" s="76" t="s">
        <v>17</v>
      </c>
      <c r="E81" s="76" t="s">
        <v>31</v>
      </c>
      <c r="F81" s="76" t="s">
        <v>49</v>
      </c>
      <c r="G81" s="76" t="s">
        <v>80</v>
      </c>
      <c r="H81" s="76" t="s">
        <v>271</v>
      </c>
      <c r="I81" s="76" t="s">
        <v>272</v>
      </c>
      <c r="J81" s="76" t="s">
        <v>110</v>
      </c>
      <c r="K81" s="76" t="s">
        <v>273</v>
      </c>
      <c r="L81" s="76"/>
    </row>
    <row r="82" spans="2:12" s="75" customFormat="1">
      <c r="B82" s="75" t="s">
        <v>238</v>
      </c>
      <c r="C82" s="85"/>
      <c r="D82" s="85"/>
    </row>
    <row r="83" spans="2:12" s="75" customFormat="1"/>
  </sheetData>
  <mergeCells count="4">
    <mergeCell ref="G1:R1"/>
    <mergeCell ref="S1:AD1"/>
    <mergeCell ref="AE1:AP1"/>
    <mergeCell ref="B77:D77"/>
  </mergeCells>
  <hyperlinks>
    <hyperlink ref="B77:D77" location="HR!A1" display="'-&gt; Zur Personalplanung" xr:uid="{015448FD-C623-4B5F-B67A-621F65A8A1BE}"/>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9F743-075D-47D6-A9BF-9D88AB44E33D}">
  <sheetPr>
    <tabColor rgb="FFFFC000"/>
  </sheetPr>
  <dimension ref="A1:AP65"/>
  <sheetViews>
    <sheetView showGridLines="0" workbookViewId="0">
      <pane xSplit="6" ySplit="2" topLeftCell="G3" activePane="bottomRight" state="frozen"/>
      <selection pane="topRight" activeCell="C1" sqref="C1"/>
      <selection pane="bottomLeft" activeCell="A3" sqref="A3"/>
      <selection pane="bottomRight"/>
    </sheetView>
  </sheetViews>
  <sheetFormatPr baseColWidth="10" defaultColWidth="11.5" defaultRowHeight="15"/>
  <cols>
    <col min="1" max="1" width="24.5" style="13" customWidth="1"/>
    <col min="2" max="4" width="16" style="13" customWidth="1"/>
    <col min="5" max="5" width="12.83203125" style="13" customWidth="1"/>
    <col min="6" max="6" width="28.5" style="13" bestFit="1" customWidth="1"/>
    <col min="7" max="42" width="12.83203125" style="13" customWidth="1"/>
    <col min="43" max="16384" width="11.5" style="13"/>
  </cols>
  <sheetData>
    <row r="1" spans="1:42" ht="16">
      <c r="A1" s="12" t="s">
        <v>31</v>
      </c>
      <c r="F1" s="14" t="s">
        <v>18</v>
      </c>
      <c r="G1" s="134" t="s">
        <v>19</v>
      </c>
      <c r="H1" s="134"/>
      <c r="I1" s="134"/>
      <c r="J1" s="134"/>
      <c r="K1" s="134"/>
      <c r="L1" s="134"/>
      <c r="M1" s="134"/>
      <c r="N1" s="134"/>
      <c r="O1" s="134"/>
      <c r="P1" s="134"/>
      <c r="Q1" s="134"/>
      <c r="R1" s="134"/>
      <c r="S1" s="134" t="s">
        <v>20</v>
      </c>
      <c r="T1" s="134"/>
      <c r="U1" s="134"/>
      <c r="V1" s="134"/>
      <c r="W1" s="134"/>
      <c r="X1" s="134"/>
      <c r="Y1" s="134"/>
      <c r="Z1" s="134"/>
      <c r="AA1" s="134"/>
      <c r="AB1" s="134"/>
      <c r="AC1" s="134"/>
      <c r="AD1" s="134"/>
      <c r="AE1" s="134" t="s">
        <v>21</v>
      </c>
      <c r="AF1" s="134"/>
      <c r="AG1" s="134"/>
      <c r="AH1" s="134"/>
      <c r="AI1" s="134"/>
      <c r="AJ1" s="134"/>
      <c r="AK1" s="134"/>
      <c r="AL1" s="134"/>
      <c r="AM1" s="134"/>
      <c r="AN1" s="134"/>
      <c r="AO1" s="134"/>
      <c r="AP1" s="134"/>
    </row>
    <row r="2" spans="1:42" ht="16">
      <c r="A2" s="23" t="str">
        <f>Cover!C11</f>
        <v>Ellmann Consulting GmbH</v>
      </c>
      <c r="F2" s="14" t="s">
        <v>22</v>
      </c>
      <c r="G2" s="24">
        <f>DATE(YEAR(Cover!C15),MONTH(Cover!C15),DAY(Cover!C15))</f>
        <v>45658</v>
      </c>
      <c r="H2" s="16">
        <f>DATE(YEAR(G2),MONTH(G2)+1,DAY(G2))</f>
        <v>45689</v>
      </c>
      <c r="I2" s="16">
        <f t="shared" ref="I2:AP2" si="0">DATE(YEAR(H2),MONTH(H2)+1,DAY(H2))</f>
        <v>45717</v>
      </c>
      <c r="J2" s="16">
        <f t="shared" si="0"/>
        <v>45748</v>
      </c>
      <c r="K2" s="16">
        <f t="shared" si="0"/>
        <v>45778</v>
      </c>
      <c r="L2" s="16">
        <f t="shared" si="0"/>
        <v>45809</v>
      </c>
      <c r="M2" s="16">
        <f t="shared" si="0"/>
        <v>45839</v>
      </c>
      <c r="N2" s="16">
        <f t="shared" si="0"/>
        <v>45870</v>
      </c>
      <c r="O2" s="16">
        <f t="shared" si="0"/>
        <v>45901</v>
      </c>
      <c r="P2" s="16">
        <f t="shared" si="0"/>
        <v>45931</v>
      </c>
      <c r="Q2" s="16">
        <f t="shared" si="0"/>
        <v>45962</v>
      </c>
      <c r="R2" s="16">
        <f t="shared" si="0"/>
        <v>45992</v>
      </c>
      <c r="S2" s="16">
        <f t="shared" si="0"/>
        <v>46023</v>
      </c>
      <c r="T2" s="16">
        <f t="shared" si="0"/>
        <v>46054</v>
      </c>
      <c r="U2" s="16">
        <f t="shared" si="0"/>
        <v>46082</v>
      </c>
      <c r="V2" s="16">
        <f t="shared" si="0"/>
        <v>46113</v>
      </c>
      <c r="W2" s="16">
        <f t="shared" si="0"/>
        <v>46143</v>
      </c>
      <c r="X2" s="16">
        <f t="shared" si="0"/>
        <v>46174</v>
      </c>
      <c r="Y2" s="16">
        <f t="shared" si="0"/>
        <v>46204</v>
      </c>
      <c r="Z2" s="16">
        <f t="shared" si="0"/>
        <v>46235</v>
      </c>
      <c r="AA2" s="16">
        <f t="shared" si="0"/>
        <v>46266</v>
      </c>
      <c r="AB2" s="16">
        <f t="shared" si="0"/>
        <v>46296</v>
      </c>
      <c r="AC2" s="16">
        <f t="shared" si="0"/>
        <v>46327</v>
      </c>
      <c r="AD2" s="16">
        <f t="shared" si="0"/>
        <v>46357</v>
      </c>
      <c r="AE2" s="16">
        <f t="shared" si="0"/>
        <v>46388</v>
      </c>
      <c r="AF2" s="16">
        <f t="shared" si="0"/>
        <v>46419</v>
      </c>
      <c r="AG2" s="16">
        <f t="shared" si="0"/>
        <v>46447</v>
      </c>
      <c r="AH2" s="16">
        <f t="shared" si="0"/>
        <v>46478</v>
      </c>
      <c r="AI2" s="16">
        <f t="shared" si="0"/>
        <v>46508</v>
      </c>
      <c r="AJ2" s="16">
        <f t="shared" si="0"/>
        <v>46539</v>
      </c>
      <c r="AK2" s="16">
        <f t="shared" si="0"/>
        <v>46569</v>
      </c>
      <c r="AL2" s="16">
        <f t="shared" si="0"/>
        <v>46600</v>
      </c>
      <c r="AM2" s="16">
        <f t="shared" si="0"/>
        <v>46631</v>
      </c>
      <c r="AN2" s="16">
        <f t="shared" si="0"/>
        <v>46661</v>
      </c>
      <c r="AO2" s="16">
        <f t="shared" si="0"/>
        <v>46692</v>
      </c>
      <c r="AP2" s="16">
        <f t="shared" si="0"/>
        <v>46722</v>
      </c>
    </row>
    <row r="4" spans="1:42">
      <c r="A4" s="19" t="s">
        <v>247</v>
      </c>
      <c r="B4" s="19"/>
      <c r="C4" s="19"/>
      <c r="D4" s="19"/>
      <c r="E4" s="19"/>
      <c r="F4" s="20"/>
    </row>
    <row r="5" spans="1:42">
      <c r="A5" s="77" t="s">
        <v>255</v>
      </c>
      <c r="B5" s="77"/>
      <c r="C5" s="77"/>
      <c r="D5" s="77"/>
      <c r="E5" s="77"/>
      <c r="F5" s="77"/>
    </row>
    <row r="6" spans="1:42">
      <c r="F6" s="18" t="s">
        <v>248</v>
      </c>
      <c r="G6" s="89">
        <f>SUM('Umsatz | COGS'!G21:G23)</f>
        <v>3</v>
      </c>
      <c r="H6" s="89">
        <f>SUM('Umsatz | COGS'!H21:H23)</f>
        <v>6</v>
      </c>
      <c r="I6" s="89">
        <f>SUM('Umsatz | COGS'!I21:I23)</f>
        <v>6</v>
      </c>
      <c r="J6" s="89">
        <f>SUM('Umsatz | COGS'!J21:J23)</f>
        <v>6</v>
      </c>
      <c r="K6" s="89">
        <f>SUM('Umsatz | COGS'!K21:K23)</f>
        <v>6</v>
      </c>
      <c r="L6" s="89">
        <f>SUM('Umsatz | COGS'!L21:L23)</f>
        <v>6</v>
      </c>
      <c r="M6" s="89">
        <f>SUM('Umsatz | COGS'!M21:M23)</f>
        <v>6</v>
      </c>
      <c r="N6" s="89">
        <f>SUM('Umsatz | COGS'!N21:N23)</f>
        <v>8</v>
      </c>
      <c r="O6" s="89">
        <f>SUM('Umsatz | COGS'!O21:O23)</f>
        <v>8</v>
      </c>
      <c r="P6" s="89">
        <f>SUM('Umsatz | COGS'!P21:P23)</f>
        <v>8</v>
      </c>
      <c r="Q6" s="89">
        <f>SUM('Umsatz | COGS'!Q21:Q23)</f>
        <v>8</v>
      </c>
      <c r="R6" s="89">
        <f>SUM('Umsatz | COGS'!R21:R23)</f>
        <v>8</v>
      </c>
      <c r="S6" s="89">
        <f>SUM('Umsatz | COGS'!S21:S23)</f>
        <v>12</v>
      </c>
      <c r="T6" s="89">
        <f>SUM('Umsatz | COGS'!T21:T23)</f>
        <v>16</v>
      </c>
      <c r="U6" s="89">
        <f>SUM('Umsatz | COGS'!U21:U23)</f>
        <v>16</v>
      </c>
      <c r="V6" s="89">
        <f>SUM('Umsatz | COGS'!V21:V23)</f>
        <v>16</v>
      </c>
      <c r="W6" s="89">
        <f>SUM('Umsatz | COGS'!W21:W23)</f>
        <v>16</v>
      </c>
      <c r="X6" s="89">
        <f>SUM('Umsatz | COGS'!X21:X23)</f>
        <v>16</v>
      </c>
      <c r="Y6" s="89">
        <f>SUM('Umsatz | COGS'!Y21:Y23)</f>
        <v>18</v>
      </c>
      <c r="Z6" s="89">
        <f>SUM('Umsatz | COGS'!Z21:Z23)</f>
        <v>20</v>
      </c>
      <c r="AA6" s="89">
        <f>SUM('Umsatz | COGS'!AA21:AA23)</f>
        <v>20</v>
      </c>
      <c r="AB6" s="89">
        <f>SUM('Umsatz | COGS'!AB21:AB23)</f>
        <v>20</v>
      </c>
      <c r="AC6" s="89">
        <f>SUM('Umsatz | COGS'!AC21:AC23)</f>
        <v>20</v>
      </c>
      <c r="AD6" s="89">
        <f>SUM('Umsatz | COGS'!AD21:AD23)</f>
        <v>20</v>
      </c>
      <c r="AE6" s="89">
        <f>SUM('Umsatz | COGS'!AE21:AE23)</f>
        <v>24</v>
      </c>
      <c r="AF6" s="89">
        <f>SUM('Umsatz | COGS'!AF21:AF23)</f>
        <v>28</v>
      </c>
      <c r="AG6" s="89">
        <f>SUM('Umsatz | COGS'!AG21:AG23)</f>
        <v>28</v>
      </c>
      <c r="AH6" s="89">
        <f>SUM('Umsatz | COGS'!AH21:AH23)</f>
        <v>28</v>
      </c>
      <c r="AI6" s="89">
        <f>SUM('Umsatz | COGS'!AI21:AI23)</f>
        <v>28</v>
      </c>
      <c r="AJ6" s="89">
        <f>SUM('Umsatz | COGS'!AJ21:AJ23)</f>
        <v>28</v>
      </c>
      <c r="AK6" s="89">
        <f>SUM('Umsatz | COGS'!AK21:AK23)</f>
        <v>29</v>
      </c>
      <c r="AL6" s="89">
        <f>SUM('Umsatz | COGS'!AL21:AL23)</f>
        <v>31</v>
      </c>
      <c r="AM6" s="89">
        <f>SUM('Umsatz | COGS'!AM21:AM23)</f>
        <v>31</v>
      </c>
      <c r="AN6" s="89">
        <f>SUM('Umsatz | COGS'!AN21:AN23)</f>
        <v>31</v>
      </c>
      <c r="AO6" s="89">
        <f>SUM('Umsatz | COGS'!AO21:AO23)</f>
        <v>31</v>
      </c>
      <c r="AP6" s="89">
        <f>SUM('Umsatz | COGS'!AP21:AP23)</f>
        <v>31</v>
      </c>
    </row>
    <row r="8" spans="1:42">
      <c r="A8" s="18" t="s">
        <v>249</v>
      </c>
      <c r="B8" s="87">
        <v>8</v>
      </c>
      <c r="C8" s="116"/>
      <c r="D8" s="116"/>
      <c r="E8" s="116"/>
    </row>
    <row r="9" spans="1:42">
      <c r="A9" s="78" t="s">
        <v>250</v>
      </c>
    </row>
    <row r="10" spans="1:42">
      <c r="F10" s="18" t="s">
        <v>251</v>
      </c>
      <c r="G10" s="18">
        <f>ROUND(G6/$B$8,0)</f>
        <v>0</v>
      </c>
      <c r="H10" s="18">
        <f t="shared" ref="H10:AP10" si="1">ROUND(H6/$B$8,0)</f>
        <v>1</v>
      </c>
      <c r="I10" s="18">
        <f t="shared" si="1"/>
        <v>1</v>
      </c>
      <c r="J10" s="18">
        <f t="shared" si="1"/>
        <v>1</v>
      </c>
      <c r="K10" s="18">
        <f t="shared" si="1"/>
        <v>1</v>
      </c>
      <c r="L10" s="18">
        <f t="shared" si="1"/>
        <v>1</v>
      </c>
      <c r="M10" s="18">
        <f t="shared" si="1"/>
        <v>1</v>
      </c>
      <c r="N10" s="18">
        <f t="shared" si="1"/>
        <v>1</v>
      </c>
      <c r="O10" s="18">
        <f t="shared" si="1"/>
        <v>1</v>
      </c>
      <c r="P10" s="18">
        <f t="shared" si="1"/>
        <v>1</v>
      </c>
      <c r="Q10" s="18">
        <f t="shared" si="1"/>
        <v>1</v>
      </c>
      <c r="R10" s="18">
        <f t="shared" si="1"/>
        <v>1</v>
      </c>
      <c r="S10" s="18">
        <f t="shared" si="1"/>
        <v>2</v>
      </c>
      <c r="T10" s="18">
        <f t="shared" si="1"/>
        <v>2</v>
      </c>
      <c r="U10" s="18">
        <f t="shared" si="1"/>
        <v>2</v>
      </c>
      <c r="V10" s="18">
        <f t="shared" si="1"/>
        <v>2</v>
      </c>
      <c r="W10" s="18">
        <f t="shared" si="1"/>
        <v>2</v>
      </c>
      <c r="X10" s="18">
        <f t="shared" si="1"/>
        <v>2</v>
      </c>
      <c r="Y10" s="18">
        <f t="shared" si="1"/>
        <v>2</v>
      </c>
      <c r="Z10" s="18">
        <f t="shared" si="1"/>
        <v>3</v>
      </c>
      <c r="AA10" s="18">
        <f t="shared" si="1"/>
        <v>3</v>
      </c>
      <c r="AB10" s="18">
        <f t="shared" si="1"/>
        <v>3</v>
      </c>
      <c r="AC10" s="18">
        <f t="shared" si="1"/>
        <v>3</v>
      </c>
      <c r="AD10" s="18">
        <f t="shared" si="1"/>
        <v>3</v>
      </c>
      <c r="AE10" s="18">
        <f t="shared" si="1"/>
        <v>3</v>
      </c>
      <c r="AF10" s="18">
        <f t="shared" si="1"/>
        <v>4</v>
      </c>
      <c r="AG10" s="18">
        <f t="shared" si="1"/>
        <v>4</v>
      </c>
      <c r="AH10" s="18">
        <f t="shared" si="1"/>
        <v>4</v>
      </c>
      <c r="AI10" s="18">
        <f t="shared" si="1"/>
        <v>4</v>
      </c>
      <c r="AJ10" s="18">
        <f t="shared" si="1"/>
        <v>4</v>
      </c>
      <c r="AK10" s="18">
        <f t="shared" si="1"/>
        <v>4</v>
      </c>
      <c r="AL10" s="18">
        <f t="shared" si="1"/>
        <v>4</v>
      </c>
      <c r="AM10" s="18">
        <f t="shared" si="1"/>
        <v>4</v>
      </c>
      <c r="AN10" s="18">
        <f t="shared" si="1"/>
        <v>4</v>
      </c>
      <c r="AO10" s="18">
        <f t="shared" si="1"/>
        <v>4</v>
      </c>
      <c r="AP10" s="18">
        <f t="shared" si="1"/>
        <v>4</v>
      </c>
    </row>
    <row r="12" spans="1:42">
      <c r="A12" s="77" t="s">
        <v>256</v>
      </c>
      <c r="B12" s="77"/>
      <c r="C12" s="77"/>
      <c r="D12" s="77"/>
      <c r="E12" s="77"/>
      <c r="F12" s="77"/>
    </row>
    <row r="13" spans="1:42">
      <c r="F13" s="18" t="s">
        <v>252</v>
      </c>
      <c r="G13" s="89">
        <f>SUM('Umsatz | COGS'!G37:G39)</f>
        <v>0</v>
      </c>
      <c r="H13" s="89">
        <f>SUM('Umsatz | COGS'!H37:H39)</f>
        <v>0</v>
      </c>
      <c r="I13" s="89">
        <f>SUM('Umsatz | COGS'!I37:I39)</f>
        <v>0</v>
      </c>
      <c r="J13" s="89">
        <f>SUM('Umsatz | COGS'!J37:J39)</f>
        <v>35</v>
      </c>
      <c r="K13" s="89">
        <f>SUM('Umsatz | COGS'!K37:K39)</f>
        <v>130</v>
      </c>
      <c r="L13" s="89">
        <f>SUM('Umsatz | COGS'!L37:L39)</f>
        <v>225</v>
      </c>
      <c r="M13" s="89">
        <f>SUM('Umsatz | COGS'!M37:M39)</f>
        <v>320</v>
      </c>
      <c r="N13" s="89">
        <f>SUM('Umsatz | COGS'!N37:N39)</f>
        <v>415</v>
      </c>
      <c r="O13" s="89">
        <f>SUM('Umsatz | COGS'!O37:O39)</f>
        <v>510</v>
      </c>
      <c r="P13" s="89">
        <f>SUM('Umsatz | COGS'!P37:P39)</f>
        <v>605</v>
      </c>
      <c r="Q13" s="89">
        <f>SUM('Umsatz | COGS'!Q37:Q39)</f>
        <v>725</v>
      </c>
      <c r="R13" s="89">
        <f>SUM('Umsatz | COGS'!R37:R39)</f>
        <v>845</v>
      </c>
      <c r="S13" s="89">
        <f>SUM('Umsatz | COGS'!S37:S39)</f>
        <v>965</v>
      </c>
      <c r="T13" s="89">
        <f>SUM('Umsatz | COGS'!T37:T39)</f>
        <v>1085</v>
      </c>
      <c r="U13" s="89">
        <f>SUM('Umsatz | COGS'!U37:U39)</f>
        <v>1205</v>
      </c>
      <c r="V13" s="89">
        <f>SUM('Umsatz | COGS'!V37:V39)</f>
        <v>1345</v>
      </c>
      <c r="W13" s="89">
        <f>SUM('Umsatz | COGS'!W37:W39)</f>
        <v>1545</v>
      </c>
      <c r="X13" s="89">
        <f>SUM('Umsatz | COGS'!X37:X39)</f>
        <v>1745</v>
      </c>
      <c r="Y13" s="89">
        <f>SUM('Umsatz | COGS'!Y37:Y39)</f>
        <v>1945</v>
      </c>
      <c r="Z13" s="89">
        <f>SUM('Umsatz | COGS'!Z37:Z39)</f>
        <v>2145</v>
      </c>
      <c r="AA13" s="89">
        <f>SUM('Umsatz | COGS'!AA37:AA39)</f>
        <v>2345</v>
      </c>
      <c r="AB13" s="89">
        <f>SUM('Umsatz | COGS'!AB37:AB39)</f>
        <v>2595</v>
      </c>
      <c r="AC13" s="89">
        <f>SUM('Umsatz | COGS'!AC37:AC39)</f>
        <v>2855</v>
      </c>
      <c r="AD13" s="89">
        <f>SUM('Umsatz | COGS'!AD37:AD39)</f>
        <v>3115</v>
      </c>
      <c r="AE13" s="89">
        <f>SUM('Umsatz | COGS'!AE37:AE39)</f>
        <v>3410</v>
      </c>
      <c r="AF13" s="89">
        <f>SUM('Umsatz | COGS'!AF37:AF39)</f>
        <v>3705</v>
      </c>
      <c r="AG13" s="89">
        <f>SUM('Umsatz | COGS'!AG37:AG39)</f>
        <v>4000</v>
      </c>
      <c r="AH13" s="89">
        <f>SUM('Umsatz | COGS'!AH37:AH39)</f>
        <v>4355</v>
      </c>
      <c r="AI13" s="89">
        <f>SUM('Umsatz | COGS'!AI37:AI39)</f>
        <v>4770</v>
      </c>
      <c r="AJ13" s="89">
        <f>SUM('Umsatz | COGS'!AJ37:AJ39)</f>
        <v>5185</v>
      </c>
      <c r="AK13" s="89">
        <f>SUM('Umsatz | COGS'!AK37:AK39)</f>
        <v>5600</v>
      </c>
      <c r="AL13" s="89">
        <f>SUM('Umsatz | COGS'!AL37:AL39)</f>
        <v>6015</v>
      </c>
      <c r="AM13" s="89">
        <f>SUM('Umsatz | COGS'!AM37:AM39)</f>
        <v>6430</v>
      </c>
      <c r="AN13" s="89">
        <f>SUM('Umsatz | COGS'!AN37:AN39)</f>
        <v>6855</v>
      </c>
      <c r="AO13" s="89">
        <f>SUM('Umsatz | COGS'!AO37:AO39)</f>
        <v>7280</v>
      </c>
      <c r="AP13" s="89">
        <f>SUM('Umsatz | COGS'!AP37:AP39)</f>
        <v>7705</v>
      </c>
    </row>
    <row r="15" spans="1:42">
      <c r="A15" s="18" t="s">
        <v>253</v>
      </c>
      <c r="B15" s="87">
        <v>1500</v>
      </c>
      <c r="C15" s="116"/>
      <c r="D15" s="116"/>
      <c r="E15" s="116"/>
    </row>
    <row r="16" spans="1:42">
      <c r="A16" s="78" t="s">
        <v>254</v>
      </c>
    </row>
    <row r="17" spans="1:42">
      <c r="F17" s="18" t="s">
        <v>257</v>
      </c>
      <c r="G17" s="18">
        <f>ROUNDUP(G13/$B$15,0)</f>
        <v>0</v>
      </c>
      <c r="H17" s="18">
        <f t="shared" ref="H17:AP17" si="2">ROUNDUP(H13/$B$15,0)</f>
        <v>0</v>
      </c>
      <c r="I17" s="18">
        <f t="shared" si="2"/>
        <v>0</v>
      </c>
      <c r="J17" s="18">
        <f t="shared" si="2"/>
        <v>1</v>
      </c>
      <c r="K17" s="18">
        <f t="shared" si="2"/>
        <v>1</v>
      </c>
      <c r="L17" s="18">
        <f t="shared" si="2"/>
        <v>1</v>
      </c>
      <c r="M17" s="18">
        <f t="shared" si="2"/>
        <v>1</v>
      </c>
      <c r="N17" s="18">
        <f t="shared" si="2"/>
        <v>1</v>
      </c>
      <c r="O17" s="18">
        <f t="shared" si="2"/>
        <v>1</v>
      </c>
      <c r="P17" s="18">
        <f t="shared" si="2"/>
        <v>1</v>
      </c>
      <c r="Q17" s="18">
        <f t="shared" si="2"/>
        <v>1</v>
      </c>
      <c r="R17" s="18">
        <f t="shared" si="2"/>
        <v>1</v>
      </c>
      <c r="S17" s="18">
        <f t="shared" si="2"/>
        <v>1</v>
      </c>
      <c r="T17" s="18">
        <f t="shared" si="2"/>
        <v>1</v>
      </c>
      <c r="U17" s="18">
        <f t="shared" si="2"/>
        <v>1</v>
      </c>
      <c r="V17" s="18">
        <f t="shared" si="2"/>
        <v>1</v>
      </c>
      <c r="W17" s="18">
        <f t="shared" si="2"/>
        <v>2</v>
      </c>
      <c r="X17" s="18">
        <f t="shared" si="2"/>
        <v>2</v>
      </c>
      <c r="Y17" s="18">
        <f t="shared" si="2"/>
        <v>2</v>
      </c>
      <c r="Z17" s="18">
        <f t="shared" si="2"/>
        <v>2</v>
      </c>
      <c r="AA17" s="18">
        <f t="shared" si="2"/>
        <v>2</v>
      </c>
      <c r="AB17" s="18">
        <f t="shared" si="2"/>
        <v>2</v>
      </c>
      <c r="AC17" s="18">
        <f t="shared" si="2"/>
        <v>2</v>
      </c>
      <c r="AD17" s="18">
        <f t="shared" si="2"/>
        <v>3</v>
      </c>
      <c r="AE17" s="18">
        <f t="shared" si="2"/>
        <v>3</v>
      </c>
      <c r="AF17" s="18">
        <f t="shared" si="2"/>
        <v>3</v>
      </c>
      <c r="AG17" s="18">
        <f t="shared" si="2"/>
        <v>3</v>
      </c>
      <c r="AH17" s="18">
        <f t="shared" si="2"/>
        <v>3</v>
      </c>
      <c r="AI17" s="18">
        <f t="shared" si="2"/>
        <v>4</v>
      </c>
      <c r="AJ17" s="18">
        <f t="shared" si="2"/>
        <v>4</v>
      </c>
      <c r="AK17" s="18">
        <f t="shared" si="2"/>
        <v>4</v>
      </c>
      <c r="AL17" s="18">
        <f t="shared" si="2"/>
        <v>5</v>
      </c>
      <c r="AM17" s="18">
        <f t="shared" si="2"/>
        <v>5</v>
      </c>
      <c r="AN17" s="18">
        <f t="shared" si="2"/>
        <v>5</v>
      </c>
      <c r="AO17" s="18">
        <f t="shared" si="2"/>
        <v>5</v>
      </c>
      <c r="AP17" s="18">
        <f t="shared" si="2"/>
        <v>6</v>
      </c>
    </row>
    <row r="19" spans="1:42">
      <c r="A19" s="19" t="s">
        <v>35</v>
      </c>
      <c r="B19" s="20"/>
      <c r="C19" s="20"/>
      <c r="D19" s="20"/>
      <c r="E19" s="20"/>
      <c r="F19" s="20"/>
    </row>
    <row r="21" spans="1:42">
      <c r="F21" s="18" t="s">
        <v>32</v>
      </c>
      <c r="G21" s="26" t="s">
        <v>46</v>
      </c>
    </row>
    <row r="22" spans="1:42">
      <c r="F22" s="34" t="s">
        <v>243</v>
      </c>
      <c r="G22" s="34">
        <v>1</v>
      </c>
      <c r="H22" s="34">
        <v>1</v>
      </c>
      <c r="I22" s="34">
        <v>1</v>
      </c>
      <c r="J22" s="34">
        <v>1</v>
      </c>
      <c r="K22" s="34">
        <v>1</v>
      </c>
      <c r="L22" s="34">
        <v>1</v>
      </c>
      <c r="M22" s="34">
        <v>1</v>
      </c>
      <c r="N22" s="34">
        <v>1</v>
      </c>
      <c r="O22" s="34">
        <v>1</v>
      </c>
      <c r="P22" s="34">
        <v>1</v>
      </c>
      <c r="Q22" s="34">
        <v>1</v>
      </c>
      <c r="R22" s="34">
        <v>1</v>
      </c>
      <c r="S22" s="34">
        <v>1</v>
      </c>
      <c r="T22" s="34">
        <v>1</v>
      </c>
      <c r="U22" s="34">
        <v>1</v>
      </c>
      <c r="V22" s="34">
        <v>1</v>
      </c>
      <c r="W22" s="34">
        <v>1</v>
      </c>
      <c r="X22" s="34">
        <v>1</v>
      </c>
      <c r="Y22" s="34">
        <v>1</v>
      </c>
      <c r="Z22" s="34">
        <v>1</v>
      </c>
      <c r="AA22" s="34">
        <v>1</v>
      </c>
      <c r="AB22" s="34">
        <v>1</v>
      </c>
      <c r="AC22" s="34">
        <v>1</v>
      </c>
      <c r="AD22" s="34">
        <v>1</v>
      </c>
      <c r="AE22" s="34">
        <v>1</v>
      </c>
      <c r="AF22" s="34">
        <v>1</v>
      </c>
      <c r="AG22" s="34">
        <v>1</v>
      </c>
      <c r="AH22" s="34">
        <v>1</v>
      </c>
      <c r="AI22" s="34">
        <v>1</v>
      </c>
      <c r="AJ22" s="34">
        <v>1</v>
      </c>
      <c r="AK22" s="34">
        <v>1</v>
      </c>
      <c r="AL22" s="34">
        <v>1</v>
      </c>
      <c r="AM22" s="34">
        <v>1</v>
      </c>
      <c r="AN22" s="34">
        <v>1</v>
      </c>
      <c r="AO22" s="34">
        <v>1</v>
      </c>
      <c r="AP22" s="34">
        <v>1</v>
      </c>
    </row>
    <row r="23" spans="1:42">
      <c r="F23" s="34" t="s">
        <v>242</v>
      </c>
      <c r="G23" s="88">
        <f>G10</f>
        <v>0</v>
      </c>
      <c r="H23" s="88">
        <f t="shared" ref="H23:AP23" si="3">H10</f>
        <v>1</v>
      </c>
      <c r="I23" s="88">
        <f t="shared" si="3"/>
        <v>1</v>
      </c>
      <c r="J23" s="88">
        <f t="shared" si="3"/>
        <v>1</v>
      </c>
      <c r="K23" s="88">
        <f t="shared" si="3"/>
        <v>1</v>
      </c>
      <c r="L23" s="88">
        <f t="shared" si="3"/>
        <v>1</v>
      </c>
      <c r="M23" s="88">
        <f t="shared" si="3"/>
        <v>1</v>
      </c>
      <c r="N23" s="88">
        <f t="shared" si="3"/>
        <v>1</v>
      </c>
      <c r="O23" s="88">
        <f t="shared" si="3"/>
        <v>1</v>
      </c>
      <c r="P23" s="88">
        <f t="shared" si="3"/>
        <v>1</v>
      </c>
      <c r="Q23" s="88">
        <f t="shared" si="3"/>
        <v>1</v>
      </c>
      <c r="R23" s="88">
        <f t="shared" si="3"/>
        <v>1</v>
      </c>
      <c r="S23" s="88">
        <f t="shared" si="3"/>
        <v>2</v>
      </c>
      <c r="T23" s="88">
        <f t="shared" si="3"/>
        <v>2</v>
      </c>
      <c r="U23" s="88">
        <f t="shared" si="3"/>
        <v>2</v>
      </c>
      <c r="V23" s="88">
        <f t="shared" si="3"/>
        <v>2</v>
      </c>
      <c r="W23" s="88">
        <f t="shared" si="3"/>
        <v>2</v>
      </c>
      <c r="X23" s="88">
        <f t="shared" si="3"/>
        <v>2</v>
      </c>
      <c r="Y23" s="88">
        <f t="shared" si="3"/>
        <v>2</v>
      </c>
      <c r="Z23" s="88">
        <f t="shared" si="3"/>
        <v>3</v>
      </c>
      <c r="AA23" s="88">
        <f t="shared" si="3"/>
        <v>3</v>
      </c>
      <c r="AB23" s="88">
        <f t="shared" si="3"/>
        <v>3</v>
      </c>
      <c r="AC23" s="88">
        <f t="shared" si="3"/>
        <v>3</v>
      </c>
      <c r="AD23" s="88">
        <f t="shared" si="3"/>
        <v>3</v>
      </c>
      <c r="AE23" s="88">
        <f t="shared" si="3"/>
        <v>3</v>
      </c>
      <c r="AF23" s="88">
        <f t="shared" si="3"/>
        <v>4</v>
      </c>
      <c r="AG23" s="88">
        <f t="shared" si="3"/>
        <v>4</v>
      </c>
      <c r="AH23" s="88">
        <f t="shared" si="3"/>
        <v>4</v>
      </c>
      <c r="AI23" s="88">
        <f t="shared" si="3"/>
        <v>4</v>
      </c>
      <c r="AJ23" s="88">
        <f t="shared" si="3"/>
        <v>4</v>
      </c>
      <c r="AK23" s="88">
        <f t="shared" si="3"/>
        <v>4</v>
      </c>
      <c r="AL23" s="88">
        <f t="shared" si="3"/>
        <v>4</v>
      </c>
      <c r="AM23" s="88">
        <f t="shared" si="3"/>
        <v>4</v>
      </c>
      <c r="AN23" s="88">
        <f t="shared" si="3"/>
        <v>4</v>
      </c>
      <c r="AO23" s="88">
        <f t="shared" si="3"/>
        <v>4</v>
      </c>
      <c r="AP23" s="88">
        <f t="shared" si="3"/>
        <v>4</v>
      </c>
    </row>
    <row r="24" spans="1:42">
      <c r="F24" s="34" t="s">
        <v>246</v>
      </c>
      <c r="G24" s="34">
        <v>1</v>
      </c>
      <c r="H24" s="34">
        <v>1</v>
      </c>
      <c r="I24" s="34">
        <v>1</v>
      </c>
      <c r="J24" s="34">
        <v>1</v>
      </c>
      <c r="K24" s="34">
        <v>1</v>
      </c>
      <c r="L24" s="34">
        <v>1</v>
      </c>
      <c r="M24" s="34">
        <v>1</v>
      </c>
      <c r="N24" s="34">
        <v>1</v>
      </c>
      <c r="O24" s="34">
        <v>1</v>
      </c>
      <c r="P24" s="34">
        <v>1</v>
      </c>
      <c r="Q24" s="34">
        <v>1</v>
      </c>
      <c r="R24" s="34">
        <v>1</v>
      </c>
      <c r="S24" s="34">
        <v>2</v>
      </c>
      <c r="T24" s="34">
        <v>2</v>
      </c>
      <c r="U24" s="34">
        <v>2</v>
      </c>
      <c r="V24" s="34">
        <v>2</v>
      </c>
      <c r="W24" s="34">
        <v>2</v>
      </c>
      <c r="X24" s="34">
        <v>2</v>
      </c>
      <c r="Y24" s="34">
        <v>2</v>
      </c>
      <c r="Z24" s="34">
        <v>2</v>
      </c>
      <c r="AA24" s="34">
        <v>2</v>
      </c>
      <c r="AB24" s="34">
        <v>2</v>
      </c>
      <c r="AC24" s="34">
        <v>2</v>
      </c>
      <c r="AD24" s="34">
        <v>2</v>
      </c>
      <c r="AE24" s="34">
        <v>2</v>
      </c>
      <c r="AF24" s="34">
        <v>2</v>
      </c>
      <c r="AG24" s="34">
        <v>2</v>
      </c>
      <c r="AH24" s="34">
        <v>2</v>
      </c>
      <c r="AI24" s="34">
        <v>2</v>
      </c>
      <c r="AJ24" s="34">
        <v>2</v>
      </c>
      <c r="AK24" s="34">
        <v>2</v>
      </c>
      <c r="AL24" s="34">
        <v>2</v>
      </c>
      <c r="AM24" s="34">
        <v>2</v>
      </c>
      <c r="AN24" s="34">
        <v>2</v>
      </c>
      <c r="AO24" s="34">
        <v>2</v>
      </c>
      <c r="AP24" s="34">
        <v>2</v>
      </c>
    </row>
    <row r="25" spans="1:42">
      <c r="F25" s="34" t="s">
        <v>244</v>
      </c>
      <c r="G25" s="34">
        <v>2</v>
      </c>
      <c r="H25" s="34">
        <v>2</v>
      </c>
      <c r="I25" s="34">
        <v>2</v>
      </c>
      <c r="J25" s="34">
        <v>2</v>
      </c>
      <c r="K25" s="34">
        <v>2</v>
      </c>
      <c r="L25" s="34">
        <v>2</v>
      </c>
      <c r="M25" s="34">
        <v>2</v>
      </c>
      <c r="N25" s="34">
        <v>2</v>
      </c>
      <c r="O25" s="34">
        <v>2</v>
      </c>
      <c r="P25" s="34">
        <v>2</v>
      </c>
      <c r="Q25" s="34">
        <v>2</v>
      </c>
      <c r="R25" s="34">
        <v>2</v>
      </c>
      <c r="S25" s="34">
        <v>3</v>
      </c>
      <c r="T25" s="34">
        <v>3</v>
      </c>
      <c r="U25" s="34">
        <v>3</v>
      </c>
      <c r="V25" s="34">
        <v>3</v>
      </c>
      <c r="W25" s="34">
        <v>3</v>
      </c>
      <c r="X25" s="34">
        <v>3</v>
      </c>
      <c r="Y25" s="34">
        <v>3</v>
      </c>
      <c r="Z25" s="34">
        <v>3</v>
      </c>
      <c r="AA25" s="34">
        <v>3</v>
      </c>
      <c r="AB25" s="34">
        <v>3</v>
      </c>
      <c r="AC25" s="34">
        <v>3</v>
      </c>
      <c r="AD25" s="34">
        <v>3</v>
      </c>
      <c r="AE25" s="34">
        <v>3</v>
      </c>
      <c r="AF25" s="34">
        <v>3</v>
      </c>
      <c r="AG25" s="34">
        <v>3</v>
      </c>
      <c r="AH25" s="34">
        <v>3</v>
      </c>
      <c r="AI25" s="34">
        <v>3</v>
      </c>
      <c r="AJ25" s="34">
        <v>3</v>
      </c>
      <c r="AK25" s="34">
        <v>3</v>
      </c>
      <c r="AL25" s="34">
        <v>3</v>
      </c>
      <c r="AM25" s="34">
        <v>3</v>
      </c>
      <c r="AN25" s="34">
        <v>3</v>
      </c>
      <c r="AO25" s="34">
        <v>3</v>
      </c>
      <c r="AP25" s="34">
        <v>3</v>
      </c>
    </row>
    <row r="26" spans="1:42">
      <c r="F26" s="34" t="s">
        <v>245</v>
      </c>
      <c r="G26" s="88">
        <f>G17</f>
        <v>0</v>
      </c>
      <c r="H26" s="88">
        <f t="shared" ref="H26:AP26" si="4">H17</f>
        <v>0</v>
      </c>
      <c r="I26" s="88">
        <f t="shared" si="4"/>
        <v>0</v>
      </c>
      <c r="J26" s="88">
        <f t="shared" si="4"/>
        <v>1</v>
      </c>
      <c r="K26" s="88">
        <f t="shared" si="4"/>
        <v>1</v>
      </c>
      <c r="L26" s="88">
        <f t="shared" si="4"/>
        <v>1</v>
      </c>
      <c r="M26" s="88">
        <f t="shared" si="4"/>
        <v>1</v>
      </c>
      <c r="N26" s="88">
        <f t="shared" si="4"/>
        <v>1</v>
      </c>
      <c r="O26" s="88">
        <f t="shared" si="4"/>
        <v>1</v>
      </c>
      <c r="P26" s="88">
        <f t="shared" si="4"/>
        <v>1</v>
      </c>
      <c r="Q26" s="88">
        <f t="shared" si="4"/>
        <v>1</v>
      </c>
      <c r="R26" s="88">
        <f t="shared" si="4"/>
        <v>1</v>
      </c>
      <c r="S26" s="88">
        <f t="shared" si="4"/>
        <v>1</v>
      </c>
      <c r="T26" s="88">
        <f t="shared" si="4"/>
        <v>1</v>
      </c>
      <c r="U26" s="88">
        <f t="shared" si="4"/>
        <v>1</v>
      </c>
      <c r="V26" s="88">
        <f t="shared" si="4"/>
        <v>1</v>
      </c>
      <c r="W26" s="88">
        <f t="shared" si="4"/>
        <v>2</v>
      </c>
      <c r="X26" s="88">
        <f t="shared" si="4"/>
        <v>2</v>
      </c>
      <c r="Y26" s="88">
        <f t="shared" si="4"/>
        <v>2</v>
      </c>
      <c r="Z26" s="88">
        <f t="shared" si="4"/>
        <v>2</v>
      </c>
      <c r="AA26" s="88">
        <f t="shared" si="4"/>
        <v>2</v>
      </c>
      <c r="AB26" s="88">
        <f t="shared" si="4"/>
        <v>2</v>
      </c>
      <c r="AC26" s="88">
        <f t="shared" si="4"/>
        <v>2</v>
      </c>
      <c r="AD26" s="88">
        <f t="shared" si="4"/>
        <v>3</v>
      </c>
      <c r="AE26" s="88">
        <f t="shared" si="4"/>
        <v>3</v>
      </c>
      <c r="AF26" s="88">
        <f t="shared" si="4"/>
        <v>3</v>
      </c>
      <c r="AG26" s="88">
        <f t="shared" si="4"/>
        <v>3</v>
      </c>
      <c r="AH26" s="88">
        <f t="shared" si="4"/>
        <v>3</v>
      </c>
      <c r="AI26" s="88">
        <f t="shared" si="4"/>
        <v>4</v>
      </c>
      <c r="AJ26" s="88">
        <f t="shared" si="4"/>
        <v>4</v>
      </c>
      <c r="AK26" s="88">
        <f t="shared" si="4"/>
        <v>4</v>
      </c>
      <c r="AL26" s="88">
        <f t="shared" si="4"/>
        <v>5</v>
      </c>
      <c r="AM26" s="88">
        <f t="shared" si="4"/>
        <v>5</v>
      </c>
      <c r="AN26" s="88">
        <f t="shared" si="4"/>
        <v>5</v>
      </c>
      <c r="AO26" s="88">
        <f t="shared" si="4"/>
        <v>5</v>
      </c>
      <c r="AP26" s="88">
        <f t="shared" si="4"/>
        <v>6</v>
      </c>
    </row>
    <row r="27" spans="1:42">
      <c r="F27" s="34" t="s">
        <v>239</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c r="AL27" s="34">
        <v>0</v>
      </c>
      <c r="AM27" s="34">
        <v>0</v>
      </c>
      <c r="AN27" s="34">
        <v>0</v>
      </c>
      <c r="AO27" s="34">
        <v>0</v>
      </c>
      <c r="AP27" s="34">
        <v>0</v>
      </c>
    </row>
    <row r="28" spans="1:42">
      <c r="F28" s="34" t="s">
        <v>240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row>
    <row r="29" spans="1:42">
      <c r="F29" s="34" t="s">
        <v>241</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c r="AL29" s="34">
        <v>0</v>
      </c>
      <c r="AM29" s="34">
        <v>0</v>
      </c>
      <c r="AN29" s="34">
        <v>0</v>
      </c>
      <c r="AO29" s="34">
        <v>0</v>
      </c>
      <c r="AP29" s="34">
        <v>0</v>
      </c>
    </row>
    <row r="31" spans="1:42">
      <c r="E31" s="18" t="s">
        <v>33</v>
      </c>
      <c r="F31" s="18" t="s">
        <v>32</v>
      </c>
    </row>
    <row r="32" spans="1:42">
      <c r="E32" s="30">
        <v>80000</v>
      </c>
      <c r="F32" s="18" t="str">
        <f>F22</f>
        <v>Geschäftsführer/in</v>
      </c>
      <c r="G32" s="21">
        <f t="shared" ref="G32:AP32" si="5">$E32*G22/12</f>
        <v>6666.666666666667</v>
      </c>
      <c r="H32" s="21">
        <f t="shared" si="5"/>
        <v>6666.666666666667</v>
      </c>
      <c r="I32" s="21">
        <f t="shared" si="5"/>
        <v>6666.666666666667</v>
      </c>
      <c r="J32" s="21">
        <f t="shared" si="5"/>
        <v>6666.666666666667</v>
      </c>
      <c r="K32" s="21">
        <f t="shared" si="5"/>
        <v>6666.666666666667</v>
      </c>
      <c r="L32" s="21">
        <f t="shared" si="5"/>
        <v>6666.666666666667</v>
      </c>
      <c r="M32" s="21">
        <f t="shared" si="5"/>
        <v>6666.666666666667</v>
      </c>
      <c r="N32" s="21">
        <f t="shared" si="5"/>
        <v>6666.666666666667</v>
      </c>
      <c r="O32" s="21">
        <f t="shared" si="5"/>
        <v>6666.666666666667</v>
      </c>
      <c r="P32" s="21">
        <f t="shared" si="5"/>
        <v>6666.666666666667</v>
      </c>
      <c r="Q32" s="21">
        <f t="shared" si="5"/>
        <v>6666.666666666667</v>
      </c>
      <c r="R32" s="21">
        <f t="shared" si="5"/>
        <v>6666.666666666667</v>
      </c>
      <c r="S32" s="21">
        <f t="shared" si="5"/>
        <v>6666.666666666667</v>
      </c>
      <c r="T32" s="21">
        <f t="shared" si="5"/>
        <v>6666.666666666667</v>
      </c>
      <c r="U32" s="21">
        <f t="shared" si="5"/>
        <v>6666.666666666667</v>
      </c>
      <c r="V32" s="21">
        <f t="shared" si="5"/>
        <v>6666.666666666667</v>
      </c>
      <c r="W32" s="21">
        <f t="shared" si="5"/>
        <v>6666.666666666667</v>
      </c>
      <c r="X32" s="21">
        <f t="shared" si="5"/>
        <v>6666.666666666667</v>
      </c>
      <c r="Y32" s="21">
        <f t="shared" si="5"/>
        <v>6666.666666666667</v>
      </c>
      <c r="Z32" s="21">
        <f t="shared" si="5"/>
        <v>6666.666666666667</v>
      </c>
      <c r="AA32" s="21">
        <f t="shared" si="5"/>
        <v>6666.666666666667</v>
      </c>
      <c r="AB32" s="21">
        <f t="shared" si="5"/>
        <v>6666.666666666667</v>
      </c>
      <c r="AC32" s="21">
        <f t="shared" si="5"/>
        <v>6666.666666666667</v>
      </c>
      <c r="AD32" s="21">
        <f t="shared" si="5"/>
        <v>6666.666666666667</v>
      </c>
      <c r="AE32" s="21">
        <f t="shared" si="5"/>
        <v>6666.666666666667</v>
      </c>
      <c r="AF32" s="21">
        <f t="shared" si="5"/>
        <v>6666.666666666667</v>
      </c>
      <c r="AG32" s="21">
        <f t="shared" si="5"/>
        <v>6666.666666666667</v>
      </c>
      <c r="AH32" s="21">
        <f t="shared" si="5"/>
        <v>6666.666666666667</v>
      </c>
      <c r="AI32" s="21">
        <f t="shared" si="5"/>
        <v>6666.666666666667</v>
      </c>
      <c r="AJ32" s="21">
        <f t="shared" si="5"/>
        <v>6666.666666666667</v>
      </c>
      <c r="AK32" s="21">
        <f t="shared" si="5"/>
        <v>6666.666666666667</v>
      </c>
      <c r="AL32" s="21">
        <f t="shared" si="5"/>
        <v>6666.666666666667</v>
      </c>
      <c r="AM32" s="21">
        <f t="shared" si="5"/>
        <v>6666.666666666667</v>
      </c>
      <c r="AN32" s="21">
        <f t="shared" si="5"/>
        <v>6666.666666666667</v>
      </c>
      <c r="AO32" s="21">
        <f t="shared" si="5"/>
        <v>6666.666666666667</v>
      </c>
      <c r="AP32" s="21">
        <f t="shared" si="5"/>
        <v>6666.666666666667</v>
      </c>
    </row>
    <row r="33" spans="1:42">
      <c r="E33" s="30">
        <v>65000</v>
      </c>
      <c r="F33" s="18" t="str">
        <f t="shared" ref="F33:F39" si="6">F23</f>
        <v>Berater/in</v>
      </c>
      <c r="G33" s="21">
        <f t="shared" ref="G33:AP33" si="7">$E33*G23/12</f>
        <v>0</v>
      </c>
      <c r="H33" s="21">
        <f t="shared" si="7"/>
        <v>5416.666666666667</v>
      </c>
      <c r="I33" s="21">
        <f t="shared" si="7"/>
        <v>5416.666666666667</v>
      </c>
      <c r="J33" s="21">
        <f t="shared" si="7"/>
        <v>5416.666666666667</v>
      </c>
      <c r="K33" s="21">
        <f t="shared" si="7"/>
        <v>5416.666666666667</v>
      </c>
      <c r="L33" s="21">
        <f t="shared" si="7"/>
        <v>5416.666666666667</v>
      </c>
      <c r="M33" s="21">
        <f t="shared" si="7"/>
        <v>5416.666666666667</v>
      </c>
      <c r="N33" s="21">
        <f t="shared" si="7"/>
        <v>5416.666666666667</v>
      </c>
      <c r="O33" s="21">
        <f t="shared" si="7"/>
        <v>5416.666666666667</v>
      </c>
      <c r="P33" s="21">
        <f t="shared" si="7"/>
        <v>5416.666666666667</v>
      </c>
      <c r="Q33" s="21">
        <f t="shared" si="7"/>
        <v>5416.666666666667</v>
      </c>
      <c r="R33" s="21">
        <f t="shared" si="7"/>
        <v>5416.666666666667</v>
      </c>
      <c r="S33" s="21">
        <f t="shared" si="7"/>
        <v>10833.333333333334</v>
      </c>
      <c r="T33" s="21">
        <f t="shared" si="7"/>
        <v>10833.333333333334</v>
      </c>
      <c r="U33" s="21">
        <f t="shared" si="7"/>
        <v>10833.333333333334</v>
      </c>
      <c r="V33" s="21">
        <f t="shared" si="7"/>
        <v>10833.333333333334</v>
      </c>
      <c r="W33" s="21">
        <f t="shared" si="7"/>
        <v>10833.333333333334</v>
      </c>
      <c r="X33" s="21">
        <f t="shared" si="7"/>
        <v>10833.333333333334</v>
      </c>
      <c r="Y33" s="21">
        <f t="shared" si="7"/>
        <v>10833.333333333334</v>
      </c>
      <c r="Z33" s="21">
        <f t="shared" si="7"/>
        <v>16250</v>
      </c>
      <c r="AA33" s="21">
        <f t="shared" si="7"/>
        <v>16250</v>
      </c>
      <c r="AB33" s="21">
        <f t="shared" si="7"/>
        <v>16250</v>
      </c>
      <c r="AC33" s="21">
        <f t="shared" si="7"/>
        <v>16250</v>
      </c>
      <c r="AD33" s="21">
        <f t="shared" si="7"/>
        <v>16250</v>
      </c>
      <c r="AE33" s="21">
        <f t="shared" si="7"/>
        <v>16250</v>
      </c>
      <c r="AF33" s="21">
        <f t="shared" si="7"/>
        <v>21666.666666666668</v>
      </c>
      <c r="AG33" s="21">
        <f t="shared" si="7"/>
        <v>21666.666666666668</v>
      </c>
      <c r="AH33" s="21">
        <f t="shared" si="7"/>
        <v>21666.666666666668</v>
      </c>
      <c r="AI33" s="21">
        <f t="shared" si="7"/>
        <v>21666.666666666668</v>
      </c>
      <c r="AJ33" s="21">
        <f t="shared" si="7"/>
        <v>21666.666666666668</v>
      </c>
      <c r="AK33" s="21">
        <f t="shared" si="7"/>
        <v>21666.666666666668</v>
      </c>
      <c r="AL33" s="21">
        <f t="shared" si="7"/>
        <v>21666.666666666668</v>
      </c>
      <c r="AM33" s="21">
        <f t="shared" si="7"/>
        <v>21666.666666666668</v>
      </c>
      <c r="AN33" s="21">
        <f t="shared" si="7"/>
        <v>21666.666666666668</v>
      </c>
      <c r="AO33" s="21">
        <f t="shared" si="7"/>
        <v>21666.666666666668</v>
      </c>
      <c r="AP33" s="21">
        <f t="shared" si="7"/>
        <v>21666.666666666668</v>
      </c>
    </row>
    <row r="34" spans="1:42">
      <c r="E34" s="30">
        <v>25000</v>
      </c>
      <c r="F34" s="18" t="str">
        <f t="shared" si="6"/>
        <v>Büroassistenz TZ</v>
      </c>
      <c r="G34" s="21">
        <f t="shared" ref="G34:AP34" si="8">$E34*G24/12</f>
        <v>2083.3333333333335</v>
      </c>
      <c r="H34" s="21">
        <f t="shared" si="8"/>
        <v>2083.3333333333335</v>
      </c>
      <c r="I34" s="21">
        <f t="shared" si="8"/>
        <v>2083.3333333333335</v>
      </c>
      <c r="J34" s="21">
        <f t="shared" si="8"/>
        <v>2083.3333333333335</v>
      </c>
      <c r="K34" s="21">
        <f t="shared" si="8"/>
        <v>2083.3333333333335</v>
      </c>
      <c r="L34" s="21">
        <f t="shared" si="8"/>
        <v>2083.3333333333335</v>
      </c>
      <c r="M34" s="21">
        <f t="shared" si="8"/>
        <v>2083.3333333333335</v>
      </c>
      <c r="N34" s="21">
        <f t="shared" si="8"/>
        <v>2083.3333333333335</v>
      </c>
      <c r="O34" s="21">
        <f t="shared" si="8"/>
        <v>2083.3333333333335</v>
      </c>
      <c r="P34" s="21">
        <f t="shared" si="8"/>
        <v>2083.3333333333335</v>
      </c>
      <c r="Q34" s="21">
        <f t="shared" si="8"/>
        <v>2083.3333333333335</v>
      </c>
      <c r="R34" s="21">
        <f t="shared" si="8"/>
        <v>2083.3333333333335</v>
      </c>
      <c r="S34" s="21">
        <f t="shared" si="8"/>
        <v>4166.666666666667</v>
      </c>
      <c r="T34" s="21">
        <f t="shared" si="8"/>
        <v>4166.666666666667</v>
      </c>
      <c r="U34" s="21">
        <f t="shared" si="8"/>
        <v>4166.666666666667</v>
      </c>
      <c r="V34" s="21">
        <f t="shared" si="8"/>
        <v>4166.666666666667</v>
      </c>
      <c r="W34" s="21">
        <f t="shared" si="8"/>
        <v>4166.666666666667</v>
      </c>
      <c r="X34" s="21">
        <f t="shared" si="8"/>
        <v>4166.666666666667</v>
      </c>
      <c r="Y34" s="21">
        <f t="shared" si="8"/>
        <v>4166.666666666667</v>
      </c>
      <c r="Z34" s="21">
        <f t="shared" si="8"/>
        <v>4166.666666666667</v>
      </c>
      <c r="AA34" s="21">
        <f t="shared" si="8"/>
        <v>4166.666666666667</v>
      </c>
      <c r="AB34" s="21">
        <f t="shared" si="8"/>
        <v>4166.666666666667</v>
      </c>
      <c r="AC34" s="21">
        <f t="shared" si="8"/>
        <v>4166.666666666667</v>
      </c>
      <c r="AD34" s="21">
        <f t="shared" si="8"/>
        <v>4166.666666666667</v>
      </c>
      <c r="AE34" s="21">
        <f t="shared" si="8"/>
        <v>4166.666666666667</v>
      </c>
      <c r="AF34" s="21">
        <f t="shared" si="8"/>
        <v>4166.666666666667</v>
      </c>
      <c r="AG34" s="21">
        <f t="shared" si="8"/>
        <v>4166.666666666667</v>
      </c>
      <c r="AH34" s="21">
        <f t="shared" si="8"/>
        <v>4166.666666666667</v>
      </c>
      <c r="AI34" s="21">
        <f t="shared" si="8"/>
        <v>4166.666666666667</v>
      </c>
      <c r="AJ34" s="21">
        <f t="shared" si="8"/>
        <v>4166.666666666667</v>
      </c>
      <c r="AK34" s="21">
        <f t="shared" si="8"/>
        <v>4166.666666666667</v>
      </c>
      <c r="AL34" s="21">
        <f t="shared" si="8"/>
        <v>4166.666666666667</v>
      </c>
      <c r="AM34" s="21">
        <f t="shared" si="8"/>
        <v>4166.666666666667</v>
      </c>
      <c r="AN34" s="21">
        <f t="shared" si="8"/>
        <v>4166.666666666667</v>
      </c>
      <c r="AO34" s="21">
        <f t="shared" si="8"/>
        <v>4166.666666666667</v>
      </c>
      <c r="AP34" s="21">
        <f t="shared" si="8"/>
        <v>4166.666666666667</v>
      </c>
    </row>
    <row r="35" spans="1:42">
      <c r="E35" s="30">
        <v>70000</v>
      </c>
      <c r="F35" s="18" t="str">
        <f t="shared" si="6"/>
        <v>Entwickler/in</v>
      </c>
      <c r="G35" s="21">
        <f t="shared" ref="G35:AP35" si="9">$E35*G25/12</f>
        <v>11666.666666666666</v>
      </c>
      <c r="H35" s="21">
        <f t="shared" si="9"/>
        <v>11666.666666666666</v>
      </c>
      <c r="I35" s="21">
        <f t="shared" si="9"/>
        <v>11666.666666666666</v>
      </c>
      <c r="J35" s="21">
        <f t="shared" si="9"/>
        <v>11666.666666666666</v>
      </c>
      <c r="K35" s="21">
        <f t="shared" si="9"/>
        <v>11666.666666666666</v>
      </c>
      <c r="L35" s="21">
        <f t="shared" si="9"/>
        <v>11666.666666666666</v>
      </c>
      <c r="M35" s="21">
        <f t="shared" si="9"/>
        <v>11666.666666666666</v>
      </c>
      <c r="N35" s="21">
        <f t="shared" si="9"/>
        <v>11666.666666666666</v>
      </c>
      <c r="O35" s="21">
        <f t="shared" si="9"/>
        <v>11666.666666666666</v>
      </c>
      <c r="P35" s="21">
        <f t="shared" si="9"/>
        <v>11666.666666666666</v>
      </c>
      <c r="Q35" s="21">
        <f t="shared" si="9"/>
        <v>11666.666666666666</v>
      </c>
      <c r="R35" s="21">
        <f t="shared" si="9"/>
        <v>11666.666666666666</v>
      </c>
      <c r="S35" s="21">
        <f t="shared" si="9"/>
        <v>17500</v>
      </c>
      <c r="T35" s="21">
        <f t="shared" si="9"/>
        <v>17500</v>
      </c>
      <c r="U35" s="21">
        <f t="shared" si="9"/>
        <v>17500</v>
      </c>
      <c r="V35" s="21">
        <f t="shared" si="9"/>
        <v>17500</v>
      </c>
      <c r="W35" s="21">
        <f t="shared" si="9"/>
        <v>17500</v>
      </c>
      <c r="X35" s="21">
        <f t="shared" si="9"/>
        <v>17500</v>
      </c>
      <c r="Y35" s="21">
        <f t="shared" si="9"/>
        <v>17500</v>
      </c>
      <c r="Z35" s="21">
        <f t="shared" si="9"/>
        <v>17500</v>
      </c>
      <c r="AA35" s="21">
        <f t="shared" si="9"/>
        <v>17500</v>
      </c>
      <c r="AB35" s="21">
        <f t="shared" si="9"/>
        <v>17500</v>
      </c>
      <c r="AC35" s="21">
        <f t="shared" si="9"/>
        <v>17500</v>
      </c>
      <c r="AD35" s="21">
        <f t="shared" si="9"/>
        <v>17500</v>
      </c>
      <c r="AE35" s="21">
        <f t="shared" si="9"/>
        <v>17500</v>
      </c>
      <c r="AF35" s="21">
        <f t="shared" si="9"/>
        <v>17500</v>
      </c>
      <c r="AG35" s="21">
        <f t="shared" si="9"/>
        <v>17500</v>
      </c>
      <c r="AH35" s="21">
        <f t="shared" si="9"/>
        <v>17500</v>
      </c>
      <c r="AI35" s="21">
        <f t="shared" si="9"/>
        <v>17500</v>
      </c>
      <c r="AJ35" s="21">
        <f t="shared" si="9"/>
        <v>17500</v>
      </c>
      <c r="AK35" s="21">
        <f t="shared" si="9"/>
        <v>17500</v>
      </c>
      <c r="AL35" s="21">
        <f t="shared" si="9"/>
        <v>17500</v>
      </c>
      <c r="AM35" s="21">
        <f t="shared" si="9"/>
        <v>17500</v>
      </c>
      <c r="AN35" s="21">
        <f t="shared" si="9"/>
        <v>17500</v>
      </c>
      <c r="AO35" s="21">
        <f t="shared" si="9"/>
        <v>17500</v>
      </c>
      <c r="AP35" s="21">
        <f t="shared" si="9"/>
        <v>17500</v>
      </c>
    </row>
    <row r="36" spans="1:42">
      <c r="E36" s="30">
        <v>35000</v>
      </c>
      <c r="F36" s="18" t="str">
        <f t="shared" si="6"/>
        <v>Servicemitarbeiter/in</v>
      </c>
      <c r="G36" s="21">
        <f t="shared" ref="G36:AP36" si="10">$E36*G26/12</f>
        <v>0</v>
      </c>
      <c r="H36" s="21">
        <f t="shared" si="10"/>
        <v>0</v>
      </c>
      <c r="I36" s="21">
        <f t="shared" si="10"/>
        <v>0</v>
      </c>
      <c r="J36" s="21">
        <f t="shared" si="10"/>
        <v>2916.6666666666665</v>
      </c>
      <c r="K36" s="21">
        <f t="shared" si="10"/>
        <v>2916.6666666666665</v>
      </c>
      <c r="L36" s="21">
        <f t="shared" si="10"/>
        <v>2916.6666666666665</v>
      </c>
      <c r="M36" s="21">
        <f t="shared" si="10"/>
        <v>2916.6666666666665</v>
      </c>
      <c r="N36" s="21">
        <f t="shared" si="10"/>
        <v>2916.6666666666665</v>
      </c>
      <c r="O36" s="21">
        <f t="shared" si="10"/>
        <v>2916.6666666666665</v>
      </c>
      <c r="P36" s="21">
        <f t="shared" si="10"/>
        <v>2916.6666666666665</v>
      </c>
      <c r="Q36" s="21">
        <f t="shared" si="10"/>
        <v>2916.6666666666665</v>
      </c>
      <c r="R36" s="21">
        <f t="shared" si="10"/>
        <v>2916.6666666666665</v>
      </c>
      <c r="S36" s="21">
        <f t="shared" si="10"/>
        <v>2916.6666666666665</v>
      </c>
      <c r="T36" s="21">
        <f t="shared" si="10"/>
        <v>2916.6666666666665</v>
      </c>
      <c r="U36" s="21">
        <f t="shared" si="10"/>
        <v>2916.6666666666665</v>
      </c>
      <c r="V36" s="21">
        <f t="shared" si="10"/>
        <v>2916.6666666666665</v>
      </c>
      <c r="W36" s="21">
        <f t="shared" si="10"/>
        <v>5833.333333333333</v>
      </c>
      <c r="X36" s="21">
        <f t="shared" si="10"/>
        <v>5833.333333333333</v>
      </c>
      <c r="Y36" s="21">
        <f t="shared" si="10"/>
        <v>5833.333333333333</v>
      </c>
      <c r="Z36" s="21">
        <f t="shared" si="10"/>
        <v>5833.333333333333</v>
      </c>
      <c r="AA36" s="21">
        <f t="shared" si="10"/>
        <v>5833.333333333333</v>
      </c>
      <c r="AB36" s="21">
        <f t="shared" si="10"/>
        <v>5833.333333333333</v>
      </c>
      <c r="AC36" s="21">
        <f t="shared" si="10"/>
        <v>5833.333333333333</v>
      </c>
      <c r="AD36" s="21">
        <f t="shared" si="10"/>
        <v>8750</v>
      </c>
      <c r="AE36" s="21">
        <f t="shared" si="10"/>
        <v>8750</v>
      </c>
      <c r="AF36" s="21">
        <f t="shared" si="10"/>
        <v>8750</v>
      </c>
      <c r="AG36" s="21">
        <f t="shared" si="10"/>
        <v>8750</v>
      </c>
      <c r="AH36" s="21">
        <f t="shared" si="10"/>
        <v>8750</v>
      </c>
      <c r="AI36" s="21">
        <f t="shared" si="10"/>
        <v>11666.666666666666</v>
      </c>
      <c r="AJ36" s="21">
        <f t="shared" si="10"/>
        <v>11666.666666666666</v>
      </c>
      <c r="AK36" s="21">
        <f t="shared" si="10"/>
        <v>11666.666666666666</v>
      </c>
      <c r="AL36" s="21">
        <f t="shared" si="10"/>
        <v>14583.333333333334</v>
      </c>
      <c r="AM36" s="21">
        <f t="shared" si="10"/>
        <v>14583.333333333334</v>
      </c>
      <c r="AN36" s="21">
        <f t="shared" si="10"/>
        <v>14583.333333333334</v>
      </c>
      <c r="AO36" s="21">
        <f t="shared" si="10"/>
        <v>14583.333333333334</v>
      </c>
      <c r="AP36" s="21">
        <f t="shared" si="10"/>
        <v>17500</v>
      </c>
    </row>
    <row r="37" spans="1:42">
      <c r="E37" s="30">
        <v>0</v>
      </c>
      <c r="F37" s="18" t="str">
        <f t="shared" si="6"/>
        <v>Position 6</v>
      </c>
      <c r="G37" s="21">
        <f t="shared" ref="G37:AP37" si="11">$E37*G27/12</f>
        <v>0</v>
      </c>
      <c r="H37" s="21">
        <f t="shared" si="11"/>
        <v>0</v>
      </c>
      <c r="I37" s="21">
        <f t="shared" si="11"/>
        <v>0</v>
      </c>
      <c r="J37" s="21">
        <f t="shared" si="11"/>
        <v>0</v>
      </c>
      <c r="K37" s="21">
        <f t="shared" si="11"/>
        <v>0</v>
      </c>
      <c r="L37" s="21">
        <f t="shared" si="11"/>
        <v>0</v>
      </c>
      <c r="M37" s="21">
        <f t="shared" si="11"/>
        <v>0</v>
      </c>
      <c r="N37" s="21">
        <f t="shared" si="11"/>
        <v>0</v>
      </c>
      <c r="O37" s="21">
        <f t="shared" si="11"/>
        <v>0</v>
      </c>
      <c r="P37" s="21">
        <f t="shared" si="11"/>
        <v>0</v>
      </c>
      <c r="Q37" s="21">
        <f t="shared" si="11"/>
        <v>0</v>
      </c>
      <c r="R37" s="21">
        <f t="shared" si="11"/>
        <v>0</v>
      </c>
      <c r="S37" s="21">
        <f t="shared" si="11"/>
        <v>0</v>
      </c>
      <c r="T37" s="21">
        <f t="shared" si="11"/>
        <v>0</v>
      </c>
      <c r="U37" s="21">
        <f t="shared" si="11"/>
        <v>0</v>
      </c>
      <c r="V37" s="21">
        <f t="shared" si="11"/>
        <v>0</v>
      </c>
      <c r="W37" s="21">
        <f t="shared" si="11"/>
        <v>0</v>
      </c>
      <c r="X37" s="21">
        <f t="shared" si="11"/>
        <v>0</v>
      </c>
      <c r="Y37" s="21">
        <f t="shared" si="11"/>
        <v>0</v>
      </c>
      <c r="Z37" s="21">
        <f t="shared" si="11"/>
        <v>0</v>
      </c>
      <c r="AA37" s="21">
        <f t="shared" si="11"/>
        <v>0</v>
      </c>
      <c r="AB37" s="21">
        <f t="shared" si="11"/>
        <v>0</v>
      </c>
      <c r="AC37" s="21">
        <f t="shared" si="11"/>
        <v>0</v>
      </c>
      <c r="AD37" s="21">
        <f t="shared" si="11"/>
        <v>0</v>
      </c>
      <c r="AE37" s="21">
        <f t="shared" si="11"/>
        <v>0</v>
      </c>
      <c r="AF37" s="21">
        <f t="shared" si="11"/>
        <v>0</v>
      </c>
      <c r="AG37" s="21">
        <f t="shared" si="11"/>
        <v>0</v>
      </c>
      <c r="AH37" s="21">
        <f t="shared" si="11"/>
        <v>0</v>
      </c>
      <c r="AI37" s="21">
        <f t="shared" si="11"/>
        <v>0</v>
      </c>
      <c r="AJ37" s="21">
        <f t="shared" si="11"/>
        <v>0</v>
      </c>
      <c r="AK37" s="21">
        <f t="shared" si="11"/>
        <v>0</v>
      </c>
      <c r="AL37" s="21">
        <f t="shared" si="11"/>
        <v>0</v>
      </c>
      <c r="AM37" s="21">
        <f t="shared" si="11"/>
        <v>0</v>
      </c>
      <c r="AN37" s="21">
        <f t="shared" si="11"/>
        <v>0</v>
      </c>
      <c r="AO37" s="21">
        <f t="shared" si="11"/>
        <v>0</v>
      </c>
      <c r="AP37" s="21">
        <f t="shared" si="11"/>
        <v>0</v>
      </c>
    </row>
    <row r="38" spans="1:42">
      <c r="E38" s="30">
        <v>0</v>
      </c>
      <c r="F38" s="18" t="str">
        <f t="shared" si="6"/>
        <v>Position 7</v>
      </c>
      <c r="G38" s="21">
        <f t="shared" ref="G38:AP38" si="12">$E38*G28/12</f>
        <v>0</v>
      </c>
      <c r="H38" s="21">
        <f t="shared" si="12"/>
        <v>0</v>
      </c>
      <c r="I38" s="21">
        <f t="shared" si="12"/>
        <v>0</v>
      </c>
      <c r="J38" s="21">
        <f t="shared" si="12"/>
        <v>0</v>
      </c>
      <c r="K38" s="21">
        <f t="shared" si="12"/>
        <v>0</v>
      </c>
      <c r="L38" s="21">
        <f t="shared" si="12"/>
        <v>0</v>
      </c>
      <c r="M38" s="21">
        <f t="shared" si="12"/>
        <v>0</v>
      </c>
      <c r="N38" s="21">
        <f t="shared" si="12"/>
        <v>0</v>
      </c>
      <c r="O38" s="21">
        <f t="shared" si="12"/>
        <v>0</v>
      </c>
      <c r="P38" s="21">
        <f t="shared" si="12"/>
        <v>0</v>
      </c>
      <c r="Q38" s="21">
        <f t="shared" si="12"/>
        <v>0</v>
      </c>
      <c r="R38" s="21">
        <f t="shared" si="12"/>
        <v>0</v>
      </c>
      <c r="S38" s="21">
        <f t="shared" si="12"/>
        <v>0</v>
      </c>
      <c r="T38" s="21">
        <f t="shared" si="12"/>
        <v>0</v>
      </c>
      <c r="U38" s="21">
        <f t="shared" si="12"/>
        <v>0</v>
      </c>
      <c r="V38" s="21">
        <f t="shared" si="12"/>
        <v>0</v>
      </c>
      <c r="W38" s="21">
        <f t="shared" si="12"/>
        <v>0</v>
      </c>
      <c r="X38" s="21">
        <f t="shared" si="12"/>
        <v>0</v>
      </c>
      <c r="Y38" s="21">
        <f t="shared" si="12"/>
        <v>0</v>
      </c>
      <c r="Z38" s="21">
        <f t="shared" si="12"/>
        <v>0</v>
      </c>
      <c r="AA38" s="21">
        <f t="shared" si="12"/>
        <v>0</v>
      </c>
      <c r="AB38" s="21">
        <f t="shared" si="12"/>
        <v>0</v>
      </c>
      <c r="AC38" s="21">
        <f t="shared" si="12"/>
        <v>0</v>
      </c>
      <c r="AD38" s="21">
        <f t="shared" si="12"/>
        <v>0</v>
      </c>
      <c r="AE38" s="21">
        <f t="shared" si="12"/>
        <v>0</v>
      </c>
      <c r="AF38" s="21">
        <f t="shared" si="12"/>
        <v>0</v>
      </c>
      <c r="AG38" s="21">
        <f t="shared" si="12"/>
        <v>0</v>
      </c>
      <c r="AH38" s="21">
        <f t="shared" si="12"/>
        <v>0</v>
      </c>
      <c r="AI38" s="21">
        <f t="shared" si="12"/>
        <v>0</v>
      </c>
      <c r="AJ38" s="21">
        <f t="shared" si="12"/>
        <v>0</v>
      </c>
      <c r="AK38" s="21">
        <f t="shared" si="12"/>
        <v>0</v>
      </c>
      <c r="AL38" s="21">
        <f t="shared" si="12"/>
        <v>0</v>
      </c>
      <c r="AM38" s="21">
        <f t="shared" si="12"/>
        <v>0</v>
      </c>
      <c r="AN38" s="21">
        <f t="shared" si="12"/>
        <v>0</v>
      </c>
      <c r="AO38" s="21">
        <f t="shared" si="12"/>
        <v>0</v>
      </c>
      <c r="AP38" s="21">
        <f t="shared" si="12"/>
        <v>0</v>
      </c>
    </row>
    <row r="39" spans="1:42">
      <c r="E39" s="30">
        <v>0</v>
      </c>
      <c r="F39" s="18" t="str">
        <f t="shared" si="6"/>
        <v>Position 8</v>
      </c>
      <c r="G39" s="21">
        <f t="shared" ref="G39:AP39" si="13">$E39*G29/12</f>
        <v>0</v>
      </c>
      <c r="H39" s="21">
        <f t="shared" si="13"/>
        <v>0</v>
      </c>
      <c r="I39" s="21">
        <f t="shared" si="13"/>
        <v>0</v>
      </c>
      <c r="J39" s="21">
        <f t="shared" si="13"/>
        <v>0</v>
      </c>
      <c r="K39" s="21">
        <f t="shared" si="13"/>
        <v>0</v>
      </c>
      <c r="L39" s="21">
        <f t="shared" si="13"/>
        <v>0</v>
      </c>
      <c r="M39" s="21">
        <f t="shared" si="13"/>
        <v>0</v>
      </c>
      <c r="N39" s="21">
        <f t="shared" si="13"/>
        <v>0</v>
      </c>
      <c r="O39" s="21">
        <f t="shared" si="13"/>
        <v>0</v>
      </c>
      <c r="P39" s="21">
        <f t="shared" si="13"/>
        <v>0</v>
      </c>
      <c r="Q39" s="21">
        <f t="shared" si="13"/>
        <v>0</v>
      </c>
      <c r="R39" s="21">
        <f t="shared" si="13"/>
        <v>0</v>
      </c>
      <c r="S39" s="21">
        <f t="shared" si="13"/>
        <v>0</v>
      </c>
      <c r="T39" s="21">
        <f t="shared" si="13"/>
        <v>0</v>
      </c>
      <c r="U39" s="21">
        <f t="shared" si="13"/>
        <v>0</v>
      </c>
      <c r="V39" s="21">
        <f t="shared" si="13"/>
        <v>0</v>
      </c>
      <c r="W39" s="21">
        <f t="shared" si="13"/>
        <v>0</v>
      </c>
      <c r="X39" s="21">
        <f t="shared" si="13"/>
        <v>0</v>
      </c>
      <c r="Y39" s="21">
        <f t="shared" si="13"/>
        <v>0</v>
      </c>
      <c r="Z39" s="21">
        <f t="shared" si="13"/>
        <v>0</v>
      </c>
      <c r="AA39" s="21">
        <f t="shared" si="13"/>
        <v>0</v>
      </c>
      <c r="AB39" s="21">
        <f t="shared" si="13"/>
        <v>0</v>
      </c>
      <c r="AC39" s="21">
        <f t="shared" si="13"/>
        <v>0</v>
      </c>
      <c r="AD39" s="21">
        <f t="shared" si="13"/>
        <v>0</v>
      </c>
      <c r="AE39" s="21">
        <f t="shared" si="13"/>
        <v>0</v>
      </c>
      <c r="AF39" s="21">
        <f t="shared" si="13"/>
        <v>0</v>
      </c>
      <c r="AG39" s="21">
        <f t="shared" si="13"/>
        <v>0</v>
      </c>
      <c r="AH39" s="21">
        <f t="shared" si="13"/>
        <v>0</v>
      </c>
      <c r="AI39" s="21">
        <f t="shared" si="13"/>
        <v>0</v>
      </c>
      <c r="AJ39" s="21">
        <f t="shared" si="13"/>
        <v>0</v>
      </c>
      <c r="AK39" s="21">
        <f t="shared" si="13"/>
        <v>0</v>
      </c>
      <c r="AL39" s="21">
        <f t="shared" si="13"/>
        <v>0</v>
      </c>
      <c r="AM39" s="21">
        <f t="shared" si="13"/>
        <v>0</v>
      </c>
      <c r="AN39" s="21">
        <f t="shared" si="13"/>
        <v>0</v>
      </c>
      <c r="AO39" s="21">
        <f t="shared" si="13"/>
        <v>0</v>
      </c>
      <c r="AP39" s="21">
        <f t="shared" si="13"/>
        <v>0</v>
      </c>
    </row>
    <row r="41" spans="1:42">
      <c r="E41" s="31">
        <v>0.25</v>
      </c>
      <c r="F41" s="18" t="s">
        <v>34</v>
      </c>
      <c r="G41" s="21">
        <f t="shared" ref="G41:AP41" si="14">SUM(G32:G39)*$E41</f>
        <v>5104.1666666666661</v>
      </c>
      <c r="H41" s="21">
        <f t="shared" si="14"/>
        <v>6458.3333333333339</v>
      </c>
      <c r="I41" s="21">
        <f t="shared" si="14"/>
        <v>6458.3333333333339</v>
      </c>
      <c r="J41" s="21">
        <f t="shared" si="14"/>
        <v>7187.5000000000009</v>
      </c>
      <c r="K41" s="21">
        <f t="shared" si="14"/>
        <v>7187.5000000000009</v>
      </c>
      <c r="L41" s="21">
        <f t="shared" si="14"/>
        <v>7187.5000000000009</v>
      </c>
      <c r="M41" s="21">
        <f t="shared" si="14"/>
        <v>7187.5000000000009</v>
      </c>
      <c r="N41" s="21">
        <f t="shared" si="14"/>
        <v>7187.5000000000009</v>
      </c>
      <c r="O41" s="21">
        <f t="shared" si="14"/>
        <v>7187.5000000000009</v>
      </c>
      <c r="P41" s="21">
        <f t="shared" si="14"/>
        <v>7187.5000000000009</v>
      </c>
      <c r="Q41" s="21">
        <f t="shared" si="14"/>
        <v>7187.5000000000009</v>
      </c>
      <c r="R41" s="21">
        <f t="shared" si="14"/>
        <v>7187.5000000000009</v>
      </c>
      <c r="S41" s="21">
        <f t="shared" si="14"/>
        <v>10520.833333333334</v>
      </c>
      <c r="T41" s="21">
        <f t="shared" si="14"/>
        <v>10520.833333333334</v>
      </c>
      <c r="U41" s="21">
        <f t="shared" si="14"/>
        <v>10520.833333333334</v>
      </c>
      <c r="V41" s="21">
        <f t="shared" si="14"/>
        <v>10520.833333333334</v>
      </c>
      <c r="W41" s="21">
        <f t="shared" si="14"/>
        <v>11250.000000000002</v>
      </c>
      <c r="X41" s="21">
        <f t="shared" si="14"/>
        <v>11250.000000000002</v>
      </c>
      <c r="Y41" s="21">
        <f t="shared" si="14"/>
        <v>11250.000000000002</v>
      </c>
      <c r="Z41" s="21">
        <f t="shared" si="14"/>
        <v>12604.166666666668</v>
      </c>
      <c r="AA41" s="21">
        <f t="shared" si="14"/>
        <v>12604.166666666668</v>
      </c>
      <c r="AB41" s="21">
        <f t="shared" si="14"/>
        <v>12604.166666666668</v>
      </c>
      <c r="AC41" s="21">
        <f t="shared" si="14"/>
        <v>12604.166666666668</v>
      </c>
      <c r="AD41" s="21">
        <f t="shared" si="14"/>
        <v>13333.333333333334</v>
      </c>
      <c r="AE41" s="21">
        <f t="shared" si="14"/>
        <v>13333.333333333334</v>
      </c>
      <c r="AF41" s="21">
        <f t="shared" si="14"/>
        <v>14687.5</v>
      </c>
      <c r="AG41" s="21">
        <f t="shared" si="14"/>
        <v>14687.5</v>
      </c>
      <c r="AH41" s="21">
        <f t="shared" si="14"/>
        <v>14687.5</v>
      </c>
      <c r="AI41" s="21">
        <f t="shared" si="14"/>
        <v>15416.666666666666</v>
      </c>
      <c r="AJ41" s="21">
        <f t="shared" si="14"/>
        <v>15416.666666666666</v>
      </c>
      <c r="AK41" s="21">
        <f t="shared" si="14"/>
        <v>15416.666666666666</v>
      </c>
      <c r="AL41" s="21">
        <f t="shared" si="14"/>
        <v>16145.833333333334</v>
      </c>
      <c r="AM41" s="21">
        <f t="shared" si="14"/>
        <v>16145.833333333334</v>
      </c>
      <c r="AN41" s="21">
        <f t="shared" si="14"/>
        <v>16145.833333333334</v>
      </c>
      <c r="AO41" s="21">
        <f t="shared" si="14"/>
        <v>16145.833333333334</v>
      </c>
      <c r="AP41" s="21">
        <f t="shared" si="14"/>
        <v>16875</v>
      </c>
    </row>
    <row r="43" spans="1:42">
      <c r="F43" s="18" t="s">
        <v>36</v>
      </c>
      <c r="G43" s="22">
        <f t="shared" ref="G43:AP43" si="15">SUM(G32:G39)+G41</f>
        <v>25520.833333333328</v>
      </c>
      <c r="H43" s="22">
        <f t="shared" si="15"/>
        <v>32291.666666666672</v>
      </c>
      <c r="I43" s="22">
        <f t="shared" si="15"/>
        <v>32291.666666666672</v>
      </c>
      <c r="J43" s="22">
        <f t="shared" si="15"/>
        <v>35937.500000000007</v>
      </c>
      <c r="K43" s="22">
        <f t="shared" si="15"/>
        <v>35937.500000000007</v>
      </c>
      <c r="L43" s="22">
        <f t="shared" si="15"/>
        <v>35937.500000000007</v>
      </c>
      <c r="M43" s="22">
        <f t="shared" si="15"/>
        <v>35937.500000000007</v>
      </c>
      <c r="N43" s="22">
        <f t="shared" si="15"/>
        <v>35937.500000000007</v>
      </c>
      <c r="O43" s="22">
        <f t="shared" si="15"/>
        <v>35937.500000000007</v>
      </c>
      <c r="P43" s="22">
        <f t="shared" si="15"/>
        <v>35937.500000000007</v>
      </c>
      <c r="Q43" s="22">
        <f t="shared" si="15"/>
        <v>35937.500000000007</v>
      </c>
      <c r="R43" s="22">
        <f t="shared" si="15"/>
        <v>35937.500000000007</v>
      </c>
      <c r="S43" s="22">
        <f t="shared" si="15"/>
        <v>52604.166666666672</v>
      </c>
      <c r="T43" s="22">
        <f t="shared" si="15"/>
        <v>52604.166666666672</v>
      </c>
      <c r="U43" s="22">
        <f t="shared" si="15"/>
        <v>52604.166666666672</v>
      </c>
      <c r="V43" s="22">
        <f t="shared" si="15"/>
        <v>52604.166666666672</v>
      </c>
      <c r="W43" s="22">
        <f t="shared" si="15"/>
        <v>56250.000000000007</v>
      </c>
      <c r="X43" s="22">
        <f t="shared" si="15"/>
        <v>56250.000000000007</v>
      </c>
      <c r="Y43" s="22">
        <f t="shared" si="15"/>
        <v>56250.000000000007</v>
      </c>
      <c r="Z43" s="22">
        <f t="shared" si="15"/>
        <v>63020.833333333343</v>
      </c>
      <c r="AA43" s="22">
        <f t="shared" si="15"/>
        <v>63020.833333333343</v>
      </c>
      <c r="AB43" s="22">
        <f t="shared" si="15"/>
        <v>63020.833333333343</v>
      </c>
      <c r="AC43" s="22">
        <f t="shared" si="15"/>
        <v>63020.833333333343</v>
      </c>
      <c r="AD43" s="22">
        <f t="shared" si="15"/>
        <v>66666.666666666672</v>
      </c>
      <c r="AE43" s="22">
        <f t="shared" si="15"/>
        <v>66666.666666666672</v>
      </c>
      <c r="AF43" s="22">
        <f t="shared" si="15"/>
        <v>73437.5</v>
      </c>
      <c r="AG43" s="22">
        <f t="shared" si="15"/>
        <v>73437.5</v>
      </c>
      <c r="AH43" s="22">
        <f t="shared" si="15"/>
        <v>73437.5</v>
      </c>
      <c r="AI43" s="22">
        <f t="shared" si="15"/>
        <v>77083.333333333328</v>
      </c>
      <c r="AJ43" s="22">
        <f t="shared" si="15"/>
        <v>77083.333333333328</v>
      </c>
      <c r="AK43" s="22">
        <f t="shared" si="15"/>
        <v>77083.333333333328</v>
      </c>
      <c r="AL43" s="22">
        <f t="shared" si="15"/>
        <v>80729.166666666672</v>
      </c>
      <c r="AM43" s="22">
        <f t="shared" si="15"/>
        <v>80729.166666666672</v>
      </c>
      <c r="AN43" s="22">
        <f t="shared" si="15"/>
        <v>80729.166666666672</v>
      </c>
      <c r="AO43" s="22">
        <f t="shared" si="15"/>
        <v>80729.166666666672</v>
      </c>
      <c r="AP43" s="22">
        <f t="shared" si="15"/>
        <v>84375</v>
      </c>
    </row>
    <row r="44" spans="1:42">
      <c r="F44" s="26" t="s">
        <v>47</v>
      </c>
    </row>
    <row r="45" spans="1:42">
      <c r="B45" s="18" t="s">
        <v>24</v>
      </c>
      <c r="C45" s="18" t="s">
        <v>25</v>
      </c>
      <c r="D45" s="18" t="s">
        <v>26</v>
      </c>
    </row>
    <row r="46" spans="1:42" s="17" customFormat="1">
      <c r="A46" s="14" t="s">
        <v>37</v>
      </c>
      <c r="B46" s="22">
        <f>SUM(G46:R46)</f>
        <v>413541.66666666669</v>
      </c>
      <c r="C46" s="22">
        <f>SUM(S46:AD46)</f>
        <v>697916.66666666674</v>
      </c>
      <c r="D46" s="22">
        <f>SUM(AE46:AP46)</f>
        <v>925520.83333333314</v>
      </c>
      <c r="F46" s="14" t="s">
        <v>37</v>
      </c>
      <c r="G46" s="22">
        <f>G43</f>
        <v>25520.833333333328</v>
      </c>
      <c r="H46" s="22">
        <f t="shared" ref="H46:AP46" si="16">H43</f>
        <v>32291.666666666672</v>
      </c>
      <c r="I46" s="22">
        <f t="shared" si="16"/>
        <v>32291.666666666672</v>
      </c>
      <c r="J46" s="22">
        <f t="shared" si="16"/>
        <v>35937.500000000007</v>
      </c>
      <c r="K46" s="22">
        <f t="shared" si="16"/>
        <v>35937.500000000007</v>
      </c>
      <c r="L46" s="22">
        <f t="shared" si="16"/>
        <v>35937.500000000007</v>
      </c>
      <c r="M46" s="22">
        <f t="shared" si="16"/>
        <v>35937.500000000007</v>
      </c>
      <c r="N46" s="22">
        <f t="shared" si="16"/>
        <v>35937.500000000007</v>
      </c>
      <c r="O46" s="22">
        <f t="shared" si="16"/>
        <v>35937.500000000007</v>
      </c>
      <c r="P46" s="22">
        <f t="shared" si="16"/>
        <v>35937.500000000007</v>
      </c>
      <c r="Q46" s="22">
        <f t="shared" si="16"/>
        <v>35937.500000000007</v>
      </c>
      <c r="R46" s="22">
        <f t="shared" si="16"/>
        <v>35937.500000000007</v>
      </c>
      <c r="S46" s="22">
        <f t="shared" si="16"/>
        <v>52604.166666666672</v>
      </c>
      <c r="T46" s="22">
        <f t="shared" si="16"/>
        <v>52604.166666666672</v>
      </c>
      <c r="U46" s="22">
        <f t="shared" si="16"/>
        <v>52604.166666666672</v>
      </c>
      <c r="V46" s="22">
        <f t="shared" si="16"/>
        <v>52604.166666666672</v>
      </c>
      <c r="W46" s="22">
        <f t="shared" si="16"/>
        <v>56250.000000000007</v>
      </c>
      <c r="X46" s="22">
        <f t="shared" si="16"/>
        <v>56250.000000000007</v>
      </c>
      <c r="Y46" s="22">
        <f t="shared" si="16"/>
        <v>56250.000000000007</v>
      </c>
      <c r="Z46" s="22">
        <f t="shared" si="16"/>
        <v>63020.833333333343</v>
      </c>
      <c r="AA46" s="22">
        <f t="shared" si="16"/>
        <v>63020.833333333343</v>
      </c>
      <c r="AB46" s="22">
        <f t="shared" si="16"/>
        <v>63020.833333333343</v>
      </c>
      <c r="AC46" s="22">
        <f t="shared" si="16"/>
        <v>63020.833333333343</v>
      </c>
      <c r="AD46" s="22">
        <f t="shared" si="16"/>
        <v>66666.666666666672</v>
      </c>
      <c r="AE46" s="22">
        <f t="shared" si="16"/>
        <v>66666.666666666672</v>
      </c>
      <c r="AF46" s="22">
        <f t="shared" si="16"/>
        <v>73437.5</v>
      </c>
      <c r="AG46" s="22">
        <f t="shared" si="16"/>
        <v>73437.5</v>
      </c>
      <c r="AH46" s="22">
        <f t="shared" si="16"/>
        <v>73437.5</v>
      </c>
      <c r="AI46" s="22">
        <f t="shared" si="16"/>
        <v>77083.333333333328</v>
      </c>
      <c r="AJ46" s="22">
        <f t="shared" si="16"/>
        <v>77083.333333333328</v>
      </c>
      <c r="AK46" s="22">
        <f t="shared" si="16"/>
        <v>77083.333333333328</v>
      </c>
      <c r="AL46" s="22">
        <f t="shared" si="16"/>
        <v>80729.166666666672</v>
      </c>
      <c r="AM46" s="22">
        <f t="shared" si="16"/>
        <v>80729.166666666672</v>
      </c>
      <c r="AN46" s="22">
        <f t="shared" si="16"/>
        <v>80729.166666666672</v>
      </c>
      <c r="AO46" s="22">
        <f t="shared" si="16"/>
        <v>80729.166666666672</v>
      </c>
      <c r="AP46" s="22">
        <f t="shared" si="16"/>
        <v>84375</v>
      </c>
    </row>
    <row r="48" spans="1:42">
      <c r="F48" s="14" t="s">
        <v>38</v>
      </c>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row>
    <row r="49" spans="1:42">
      <c r="F49" s="26" t="s">
        <v>48</v>
      </c>
    </row>
    <row r="51" spans="1:42">
      <c r="A51" s="19" t="s">
        <v>39</v>
      </c>
      <c r="B51" s="19"/>
      <c r="C51" s="19"/>
      <c r="D51" s="19"/>
      <c r="E51" s="19"/>
      <c r="F51" s="86"/>
    </row>
    <row r="53" spans="1:42">
      <c r="F53" s="18" t="s">
        <v>40</v>
      </c>
      <c r="G53" s="18">
        <f>SUM(G22:G29)</f>
        <v>4</v>
      </c>
      <c r="H53" s="18">
        <f t="shared" ref="H53:AP53" si="17">SUM(H22:H29)</f>
        <v>5</v>
      </c>
      <c r="I53" s="18">
        <f t="shared" si="17"/>
        <v>5</v>
      </c>
      <c r="J53" s="18">
        <f t="shared" si="17"/>
        <v>6</v>
      </c>
      <c r="K53" s="18">
        <f t="shared" si="17"/>
        <v>6</v>
      </c>
      <c r="L53" s="18">
        <f t="shared" si="17"/>
        <v>6</v>
      </c>
      <c r="M53" s="18">
        <f t="shared" si="17"/>
        <v>6</v>
      </c>
      <c r="N53" s="18">
        <f t="shared" si="17"/>
        <v>6</v>
      </c>
      <c r="O53" s="18">
        <f t="shared" si="17"/>
        <v>6</v>
      </c>
      <c r="P53" s="18">
        <f t="shared" si="17"/>
        <v>6</v>
      </c>
      <c r="Q53" s="18">
        <f t="shared" si="17"/>
        <v>6</v>
      </c>
      <c r="R53" s="18">
        <f t="shared" si="17"/>
        <v>6</v>
      </c>
      <c r="S53" s="18">
        <f t="shared" si="17"/>
        <v>9</v>
      </c>
      <c r="T53" s="18">
        <f t="shared" si="17"/>
        <v>9</v>
      </c>
      <c r="U53" s="18">
        <f t="shared" si="17"/>
        <v>9</v>
      </c>
      <c r="V53" s="18">
        <f t="shared" si="17"/>
        <v>9</v>
      </c>
      <c r="W53" s="18">
        <f t="shared" si="17"/>
        <v>10</v>
      </c>
      <c r="X53" s="18">
        <f t="shared" si="17"/>
        <v>10</v>
      </c>
      <c r="Y53" s="18">
        <f t="shared" si="17"/>
        <v>10</v>
      </c>
      <c r="Z53" s="18">
        <f t="shared" si="17"/>
        <v>11</v>
      </c>
      <c r="AA53" s="18">
        <f t="shared" si="17"/>
        <v>11</v>
      </c>
      <c r="AB53" s="18">
        <f t="shared" si="17"/>
        <v>11</v>
      </c>
      <c r="AC53" s="18">
        <f t="shared" si="17"/>
        <v>11</v>
      </c>
      <c r="AD53" s="18">
        <f t="shared" si="17"/>
        <v>12</v>
      </c>
      <c r="AE53" s="18">
        <f t="shared" si="17"/>
        <v>12</v>
      </c>
      <c r="AF53" s="18">
        <f t="shared" si="17"/>
        <v>13</v>
      </c>
      <c r="AG53" s="18">
        <f t="shared" si="17"/>
        <v>13</v>
      </c>
      <c r="AH53" s="18">
        <f t="shared" si="17"/>
        <v>13</v>
      </c>
      <c r="AI53" s="18">
        <f t="shared" si="17"/>
        <v>14</v>
      </c>
      <c r="AJ53" s="18">
        <f t="shared" si="17"/>
        <v>14</v>
      </c>
      <c r="AK53" s="18">
        <f t="shared" si="17"/>
        <v>14</v>
      </c>
      <c r="AL53" s="18">
        <f t="shared" si="17"/>
        <v>15</v>
      </c>
      <c r="AM53" s="18">
        <f t="shared" si="17"/>
        <v>15</v>
      </c>
      <c r="AN53" s="18">
        <f t="shared" si="17"/>
        <v>15</v>
      </c>
      <c r="AO53" s="18">
        <f t="shared" si="17"/>
        <v>15</v>
      </c>
      <c r="AP53" s="18">
        <f t="shared" si="17"/>
        <v>16</v>
      </c>
    </row>
    <row r="54" spans="1:42" ht="15" customHeight="1">
      <c r="E54" s="32">
        <v>0.4</v>
      </c>
      <c r="F54" s="18" t="s">
        <v>41</v>
      </c>
      <c r="G54" s="18">
        <f t="shared" ref="G54:P55" si="18">ROUND(G$53*$E54,0)</f>
        <v>2</v>
      </c>
      <c r="H54" s="18">
        <f t="shared" si="18"/>
        <v>2</v>
      </c>
      <c r="I54" s="18">
        <f t="shared" si="18"/>
        <v>2</v>
      </c>
      <c r="J54" s="18">
        <f t="shared" si="18"/>
        <v>2</v>
      </c>
      <c r="K54" s="18">
        <f t="shared" si="18"/>
        <v>2</v>
      </c>
      <c r="L54" s="18">
        <f t="shared" si="18"/>
        <v>2</v>
      </c>
      <c r="M54" s="18">
        <f t="shared" si="18"/>
        <v>2</v>
      </c>
      <c r="N54" s="18">
        <f t="shared" si="18"/>
        <v>2</v>
      </c>
      <c r="O54" s="18">
        <f t="shared" si="18"/>
        <v>2</v>
      </c>
      <c r="P54" s="18">
        <f t="shared" si="18"/>
        <v>2</v>
      </c>
      <c r="Q54" s="18">
        <f t="shared" ref="Q54:Z55" si="19">ROUND(Q$53*$E54,0)</f>
        <v>2</v>
      </c>
      <c r="R54" s="18">
        <f t="shared" si="19"/>
        <v>2</v>
      </c>
      <c r="S54" s="18">
        <f t="shared" si="19"/>
        <v>4</v>
      </c>
      <c r="T54" s="18">
        <f t="shared" si="19"/>
        <v>4</v>
      </c>
      <c r="U54" s="18">
        <f t="shared" si="19"/>
        <v>4</v>
      </c>
      <c r="V54" s="18">
        <f t="shared" si="19"/>
        <v>4</v>
      </c>
      <c r="W54" s="18">
        <f t="shared" si="19"/>
        <v>4</v>
      </c>
      <c r="X54" s="18">
        <f t="shared" si="19"/>
        <v>4</v>
      </c>
      <c r="Y54" s="18">
        <f t="shared" si="19"/>
        <v>4</v>
      </c>
      <c r="Z54" s="18">
        <f t="shared" si="19"/>
        <v>4</v>
      </c>
      <c r="AA54" s="18">
        <f t="shared" ref="AA54:AJ55" si="20">ROUND(AA$53*$E54,0)</f>
        <v>4</v>
      </c>
      <c r="AB54" s="18">
        <f t="shared" si="20"/>
        <v>4</v>
      </c>
      <c r="AC54" s="18">
        <f t="shared" si="20"/>
        <v>4</v>
      </c>
      <c r="AD54" s="18">
        <f t="shared" si="20"/>
        <v>5</v>
      </c>
      <c r="AE54" s="18">
        <f t="shared" si="20"/>
        <v>5</v>
      </c>
      <c r="AF54" s="18">
        <f t="shared" si="20"/>
        <v>5</v>
      </c>
      <c r="AG54" s="18">
        <f t="shared" si="20"/>
        <v>5</v>
      </c>
      <c r="AH54" s="18">
        <f t="shared" si="20"/>
        <v>5</v>
      </c>
      <c r="AI54" s="18">
        <f t="shared" si="20"/>
        <v>6</v>
      </c>
      <c r="AJ54" s="18">
        <f t="shared" si="20"/>
        <v>6</v>
      </c>
      <c r="AK54" s="18">
        <f t="shared" ref="AK54:AP55" si="21">ROUND(AK$53*$E54,0)</f>
        <v>6</v>
      </c>
      <c r="AL54" s="18">
        <f t="shared" si="21"/>
        <v>6</v>
      </c>
      <c r="AM54" s="18">
        <f t="shared" si="21"/>
        <v>6</v>
      </c>
      <c r="AN54" s="18">
        <f t="shared" si="21"/>
        <v>6</v>
      </c>
      <c r="AO54" s="18">
        <f t="shared" si="21"/>
        <v>6</v>
      </c>
      <c r="AP54" s="18">
        <f t="shared" si="21"/>
        <v>6</v>
      </c>
    </row>
    <row r="55" spans="1:42">
      <c r="E55" s="32">
        <v>0.2</v>
      </c>
      <c r="F55" s="18" t="s">
        <v>42</v>
      </c>
      <c r="G55" s="18">
        <f t="shared" si="18"/>
        <v>1</v>
      </c>
      <c r="H55" s="18">
        <f t="shared" si="18"/>
        <v>1</v>
      </c>
      <c r="I55" s="18">
        <f t="shared" si="18"/>
        <v>1</v>
      </c>
      <c r="J55" s="18">
        <f t="shared" si="18"/>
        <v>1</v>
      </c>
      <c r="K55" s="18">
        <f t="shared" si="18"/>
        <v>1</v>
      </c>
      <c r="L55" s="18">
        <f t="shared" si="18"/>
        <v>1</v>
      </c>
      <c r="M55" s="18">
        <f t="shared" si="18"/>
        <v>1</v>
      </c>
      <c r="N55" s="18">
        <f t="shared" si="18"/>
        <v>1</v>
      </c>
      <c r="O55" s="18">
        <f t="shared" si="18"/>
        <v>1</v>
      </c>
      <c r="P55" s="18">
        <f t="shared" si="18"/>
        <v>1</v>
      </c>
      <c r="Q55" s="18">
        <f t="shared" si="19"/>
        <v>1</v>
      </c>
      <c r="R55" s="18">
        <f t="shared" si="19"/>
        <v>1</v>
      </c>
      <c r="S55" s="18">
        <f t="shared" si="19"/>
        <v>2</v>
      </c>
      <c r="T55" s="18">
        <f t="shared" si="19"/>
        <v>2</v>
      </c>
      <c r="U55" s="18">
        <f t="shared" si="19"/>
        <v>2</v>
      </c>
      <c r="V55" s="18">
        <f t="shared" si="19"/>
        <v>2</v>
      </c>
      <c r="W55" s="18">
        <f t="shared" si="19"/>
        <v>2</v>
      </c>
      <c r="X55" s="18">
        <f t="shared" si="19"/>
        <v>2</v>
      </c>
      <c r="Y55" s="18">
        <f t="shared" si="19"/>
        <v>2</v>
      </c>
      <c r="Z55" s="18">
        <f t="shared" si="19"/>
        <v>2</v>
      </c>
      <c r="AA55" s="18">
        <f t="shared" si="20"/>
        <v>2</v>
      </c>
      <c r="AB55" s="18">
        <f t="shared" si="20"/>
        <v>2</v>
      </c>
      <c r="AC55" s="18">
        <f t="shared" si="20"/>
        <v>2</v>
      </c>
      <c r="AD55" s="18">
        <f t="shared" si="20"/>
        <v>2</v>
      </c>
      <c r="AE55" s="18">
        <f t="shared" si="20"/>
        <v>2</v>
      </c>
      <c r="AF55" s="18">
        <f t="shared" si="20"/>
        <v>3</v>
      </c>
      <c r="AG55" s="18">
        <f t="shared" si="20"/>
        <v>3</v>
      </c>
      <c r="AH55" s="18">
        <f t="shared" si="20"/>
        <v>3</v>
      </c>
      <c r="AI55" s="18">
        <f t="shared" si="20"/>
        <v>3</v>
      </c>
      <c r="AJ55" s="18">
        <f t="shared" si="20"/>
        <v>3</v>
      </c>
      <c r="AK55" s="18">
        <f t="shared" si="21"/>
        <v>3</v>
      </c>
      <c r="AL55" s="18">
        <f t="shared" si="21"/>
        <v>3</v>
      </c>
      <c r="AM55" s="18">
        <f t="shared" si="21"/>
        <v>3</v>
      </c>
      <c r="AN55" s="18">
        <f t="shared" si="21"/>
        <v>3</v>
      </c>
      <c r="AO55" s="18">
        <f t="shared" si="21"/>
        <v>3</v>
      </c>
      <c r="AP55" s="18">
        <f t="shared" si="21"/>
        <v>3</v>
      </c>
    </row>
    <row r="56" spans="1:42">
      <c r="F56" s="18" t="s">
        <v>43</v>
      </c>
      <c r="G56" s="18">
        <f>G53-G54</f>
        <v>2</v>
      </c>
      <c r="H56" s="18">
        <f t="shared" ref="H56:AP56" si="22">H53-H54</f>
        <v>3</v>
      </c>
      <c r="I56" s="18">
        <f t="shared" si="22"/>
        <v>3</v>
      </c>
      <c r="J56" s="18">
        <f t="shared" si="22"/>
        <v>4</v>
      </c>
      <c r="K56" s="18">
        <f t="shared" si="22"/>
        <v>4</v>
      </c>
      <c r="L56" s="18">
        <f t="shared" si="22"/>
        <v>4</v>
      </c>
      <c r="M56" s="18">
        <f t="shared" si="22"/>
        <v>4</v>
      </c>
      <c r="N56" s="18">
        <f t="shared" si="22"/>
        <v>4</v>
      </c>
      <c r="O56" s="18">
        <f t="shared" si="22"/>
        <v>4</v>
      </c>
      <c r="P56" s="18">
        <f t="shared" si="22"/>
        <v>4</v>
      </c>
      <c r="Q56" s="18">
        <f t="shared" si="22"/>
        <v>4</v>
      </c>
      <c r="R56" s="18">
        <f t="shared" si="22"/>
        <v>4</v>
      </c>
      <c r="S56" s="18">
        <f t="shared" si="22"/>
        <v>5</v>
      </c>
      <c r="T56" s="18">
        <f t="shared" si="22"/>
        <v>5</v>
      </c>
      <c r="U56" s="18">
        <f t="shared" si="22"/>
        <v>5</v>
      </c>
      <c r="V56" s="18">
        <f t="shared" si="22"/>
        <v>5</v>
      </c>
      <c r="W56" s="18">
        <f t="shared" si="22"/>
        <v>6</v>
      </c>
      <c r="X56" s="18">
        <f t="shared" si="22"/>
        <v>6</v>
      </c>
      <c r="Y56" s="18">
        <f t="shared" si="22"/>
        <v>6</v>
      </c>
      <c r="Z56" s="18">
        <f t="shared" si="22"/>
        <v>7</v>
      </c>
      <c r="AA56" s="18">
        <f t="shared" si="22"/>
        <v>7</v>
      </c>
      <c r="AB56" s="18">
        <f t="shared" si="22"/>
        <v>7</v>
      </c>
      <c r="AC56" s="18">
        <f t="shared" si="22"/>
        <v>7</v>
      </c>
      <c r="AD56" s="18">
        <f t="shared" si="22"/>
        <v>7</v>
      </c>
      <c r="AE56" s="18">
        <f t="shared" si="22"/>
        <v>7</v>
      </c>
      <c r="AF56" s="18">
        <f t="shared" si="22"/>
        <v>8</v>
      </c>
      <c r="AG56" s="18">
        <f t="shared" si="22"/>
        <v>8</v>
      </c>
      <c r="AH56" s="18">
        <f t="shared" si="22"/>
        <v>8</v>
      </c>
      <c r="AI56" s="18">
        <f t="shared" si="22"/>
        <v>8</v>
      </c>
      <c r="AJ56" s="18">
        <f t="shared" si="22"/>
        <v>8</v>
      </c>
      <c r="AK56" s="18">
        <f t="shared" si="22"/>
        <v>8</v>
      </c>
      <c r="AL56" s="18">
        <f t="shared" si="22"/>
        <v>9</v>
      </c>
      <c r="AM56" s="18">
        <f t="shared" si="22"/>
        <v>9</v>
      </c>
      <c r="AN56" s="18">
        <f t="shared" si="22"/>
        <v>9</v>
      </c>
      <c r="AO56" s="18">
        <f t="shared" si="22"/>
        <v>9</v>
      </c>
      <c r="AP56" s="18">
        <f t="shared" si="22"/>
        <v>10</v>
      </c>
    </row>
    <row r="57" spans="1:42">
      <c r="F57" s="27"/>
    </row>
    <row r="58" spans="1:42">
      <c r="F58" s="27"/>
    </row>
    <row r="59" spans="1:42" ht="30" customHeight="1">
      <c r="B59" s="133" t="s">
        <v>258</v>
      </c>
      <c r="C59" s="133"/>
      <c r="D59" s="133"/>
    </row>
    <row r="61" spans="1:42" s="74" customFormat="1"/>
    <row r="62" spans="1:42" s="75" customFormat="1">
      <c r="B62" s="75" t="s">
        <v>197</v>
      </c>
      <c r="C62" s="76">
        <v>1</v>
      </c>
      <c r="D62" s="76">
        <v>2</v>
      </c>
      <c r="E62" s="76">
        <v>3</v>
      </c>
      <c r="F62" s="76">
        <v>4</v>
      </c>
      <c r="G62" s="76">
        <v>5</v>
      </c>
      <c r="H62" s="76">
        <v>6</v>
      </c>
      <c r="I62" s="76">
        <v>7</v>
      </c>
      <c r="J62" s="76">
        <v>8</v>
      </c>
      <c r="K62" s="76">
        <v>9</v>
      </c>
      <c r="L62" s="76"/>
    </row>
    <row r="63" spans="1:42" s="75" customFormat="1">
      <c r="B63" s="75" t="s">
        <v>196</v>
      </c>
      <c r="C63" s="76" t="s">
        <v>195</v>
      </c>
      <c r="D63" s="76" t="s">
        <v>17</v>
      </c>
      <c r="E63" s="76" t="s">
        <v>31</v>
      </c>
      <c r="F63" s="76" t="s">
        <v>49</v>
      </c>
      <c r="G63" s="76" t="s">
        <v>80</v>
      </c>
      <c r="H63" s="76" t="s">
        <v>271</v>
      </c>
      <c r="I63" s="76" t="s">
        <v>272</v>
      </c>
      <c r="J63" s="76" t="s">
        <v>110</v>
      </c>
      <c r="K63" s="76" t="s">
        <v>273</v>
      </c>
      <c r="L63" s="76"/>
    </row>
    <row r="64" spans="1:42" s="75" customFormat="1">
      <c r="B64" s="75" t="s">
        <v>238</v>
      </c>
      <c r="C64" s="85"/>
      <c r="D64" s="85"/>
      <c r="E64" s="85"/>
    </row>
    <row r="65" s="75" customFormat="1"/>
  </sheetData>
  <mergeCells count="4">
    <mergeCell ref="G1:R1"/>
    <mergeCell ref="S1:AD1"/>
    <mergeCell ref="AE1:AP1"/>
    <mergeCell ref="B59:D59"/>
  </mergeCells>
  <phoneticPr fontId="18" type="noConversion"/>
  <hyperlinks>
    <hyperlink ref="B59:D59" location="OPEX!A1" display="-&gt; Zur Betriebskosten Planung" xr:uid="{E0BE1269-E434-48D3-9271-AB0155BF9035}"/>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6EB4E-AF1F-44E6-9126-AA27DAEEF9D5}">
  <sheetPr>
    <tabColor rgb="FFFFC000"/>
  </sheetPr>
  <dimension ref="A1:AP85"/>
  <sheetViews>
    <sheetView showGridLines="0" workbookViewId="0">
      <pane xSplit="6" ySplit="2" topLeftCell="G3" activePane="bottomRight" state="frozen"/>
      <selection pane="topRight" activeCell="G1" sqref="G1"/>
      <selection pane="bottomLeft" activeCell="A3" sqref="A3"/>
      <selection pane="bottomRight"/>
    </sheetView>
  </sheetViews>
  <sheetFormatPr baseColWidth="10" defaultColWidth="11.5" defaultRowHeight="15"/>
  <cols>
    <col min="1" max="1" width="46.1640625" style="13" bestFit="1" customWidth="1"/>
    <col min="2" max="4" width="16" style="13" customWidth="1"/>
    <col min="5" max="5" width="11.5" style="13"/>
    <col min="6" max="6" width="28.1640625" style="13" customWidth="1"/>
    <col min="7" max="16384" width="11.5" style="13"/>
  </cols>
  <sheetData>
    <row r="1" spans="1:42" ht="16">
      <c r="A1" s="12" t="s">
        <v>324</v>
      </c>
      <c r="F1" s="14" t="s">
        <v>18</v>
      </c>
      <c r="G1" s="134" t="s">
        <v>19</v>
      </c>
      <c r="H1" s="134"/>
      <c r="I1" s="134"/>
      <c r="J1" s="134"/>
      <c r="K1" s="134"/>
      <c r="L1" s="134"/>
      <c r="M1" s="134"/>
      <c r="N1" s="134"/>
      <c r="O1" s="134"/>
      <c r="P1" s="134"/>
      <c r="Q1" s="134"/>
      <c r="R1" s="134"/>
      <c r="S1" s="134" t="s">
        <v>20</v>
      </c>
      <c r="T1" s="134"/>
      <c r="U1" s="134"/>
      <c r="V1" s="134"/>
      <c r="W1" s="134"/>
      <c r="X1" s="134"/>
      <c r="Y1" s="134"/>
      <c r="Z1" s="134"/>
      <c r="AA1" s="134"/>
      <c r="AB1" s="134"/>
      <c r="AC1" s="134"/>
      <c r="AD1" s="134"/>
      <c r="AE1" s="134" t="s">
        <v>21</v>
      </c>
      <c r="AF1" s="134"/>
      <c r="AG1" s="134"/>
      <c r="AH1" s="134"/>
      <c r="AI1" s="134"/>
      <c r="AJ1" s="134"/>
      <c r="AK1" s="134"/>
      <c r="AL1" s="134"/>
      <c r="AM1" s="134"/>
      <c r="AN1" s="134"/>
      <c r="AO1" s="134"/>
      <c r="AP1" s="134"/>
    </row>
    <row r="2" spans="1:42" ht="16">
      <c r="A2" s="23" t="str">
        <f>Cover!C11</f>
        <v>Ellmann Consulting GmbH</v>
      </c>
      <c r="F2" s="14" t="s">
        <v>22</v>
      </c>
      <c r="G2" s="24">
        <f>DATE(YEAR(Cover!C15),MONTH(Cover!C15),DAY(Cover!C15))</f>
        <v>45658</v>
      </c>
      <c r="H2" s="16">
        <f>DATE(YEAR(G2),MONTH(G2)+1,DAY(G2))</f>
        <v>45689</v>
      </c>
      <c r="I2" s="16">
        <f t="shared" ref="I2:AP2" si="0">DATE(YEAR(H2),MONTH(H2)+1,DAY(H2))</f>
        <v>45717</v>
      </c>
      <c r="J2" s="16">
        <f t="shared" si="0"/>
        <v>45748</v>
      </c>
      <c r="K2" s="16">
        <f t="shared" si="0"/>
        <v>45778</v>
      </c>
      <c r="L2" s="16">
        <f t="shared" si="0"/>
        <v>45809</v>
      </c>
      <c r="M2" s="16">
        <f t="shared" si="0"/>
        <v>45839</v>
      </c>
      <c r="N2" s="16">
        <f t="shared" si="0"/>
        <v>45870</v>
      </c>
      <c r="O2" s="16">
        <f t="shared" si="0"/>
        <v>45901</v>
      </c>
      <c r="P2" s="16">
        <f t="shared" si="0"/>
        <v>45931</v>
      </c>
      <c r="Q2" s="16">
        <f t="shared" si="0"/>
        <v>45962</v>
      </c>
      <c r="R2" s="16">
        <f t="shared" si="0"/>
        <v>45992</v>
      </c>
      <c r="S2" s="16">
        <f t="shared" si="0"/>
        <v>46023</v>
      </c>
      <c r="T2" s="16">
        <f t="shared" si="0"/>
        <v>46054</v>
      </c>
      <c r="U2" s="16">
        <f t="shared" si="0"/>
        <v>46082</v>
      </c>
      <c r="V2" s="16">
        <f t="shared" si="0"/>
        <v>46113</v>
      </c>
      <c r="W2" s="16">
        <f t="shared" si="0"/>
        <v>46143</v>
      </c>
      <c r="X2" s="16">
        <f t="shared" si="0"/>
        <v>46174</v>
      </c>
      <c r="Y2" s="16">
        <f t="shared" si="0"/>
        <v>46204</v>
      </c>
      <c r="Z2" s="16">
        <f t="shared" si="0"/>
        <v>46235</v>
      </c>
      <c r="AA2" s="16">
        <f t="shared" si="0"/>
        <v>46266</v>
      </c>
      <c r="AB2" s="16">
        <f t="shared" si="0"/>
        <v>46296</v>
      </c>
      <c r="AC2" s="16">
        <f t="shared" si="0"/>
        <v>46327</v>
      </c>
      <c r="AD2" s="16">
        <f t="shared" si="0"/>
        <v>46357</v>
      </c>
      <c r="AE2" s="16">
        <f t="shared" si="0"/>
        <v>46388</v>
      </c>
      <c r="AF2" s="16">
        <f t="shared" si="0"/>
        <v>46419</v>
      </c>
      <c r="AG2" s="16">
        <f t="shared" si="0"/>
        <v>46447</v>
      </c>
      <c r="AH2" s="16">
        <f t="shared" si="0"/>
        <v>46478</v>
      </c>
      <c r="AI2" s="16">
        <f t="shared" si="0"/>
        <v>46508</v>
      </c>
      <c r="AJ2" s="16">
        <f t="shared" si="0"/>
        <v>46539</v>
      </c>
      <c r="AK2" s="16">
        <f t="shared" si="0"/>
        <v>46569</v>
      </c>
      <c r="AL2" s="16">
        <f t="shared" si="0"/>
        <v>46600</v>
      </c>
      <c r="AM2" s="16">
        <f t="shared" si="0"/>
        <v>46631</v>
      </c>
      <c r="AN2" s="16">
        <f t="shared" si="0"/>
        <v>46661</v>
      </c>
      <c r="AO2" s="16">
        <f t="shared" si="0"/>
        <v>46692</v>
      </c>
      <c r="AP2" s="16">
        <f t="shared" si="0"/>
        <v>46722</v>
      </c>
    </row>
    <row r="3" spans="1:42">
      <c r="A3" s="17"/>
    </row>
    <row r="4" spans="1:42">
      <c r="A4" s="19" t="s">
        <v>247</v>
      </c>
      <c r="B4" s="19"/>
      <c r="C4" s="20"/>
      <c r="D4" s="20"/>
      <c r="E4" s="20"/>
    </row>
    <row r="5" spans="1:42">
      <c r="A5" s="17"/>
    </row>
    <row r="6" spans="1:42">
      <c r="A6" s="17"/>
      <c r="F6" s="18" t="s">
        <v>40</v>
      </c>
      <c r="G6" s="89">
        <f>HR!G53</f>
        <v>4</v>
      </c>
      <c r="H6" s="89">
        <f>HR!H53</f>
        <v>5</v>
      </c>
      <c r="I6" s="89">
        <f>HR!I53</f>
        <v>5</v>
      </c>
      <c r="J6" s="89">
        <f>HR!J53</f>
        <v>6</v>
      </c>
      <c r="K6" s="89">
        <f>HR!K53</f>
        <v>6</v>
      </c>
      <c r="L6" s="89">
        <f>HR!L53</f>
        <v>6</v>
      </c>
      <c r="M6" s="89">
        <f>HR!M53</f>
        <v>6</v>
      </c>
      <c r="N6" s="89">
        <f>HR!N53</f>
        <v>6</v>
      </c>
      <c r="O6" s="89">
        <f>HR!O53</f>
        <v>6</v>
      </c>
      <c r="P6" s="89">
        <f>HR!P53</f>
        <v>6</v>
      </c>
      <c r="Q6" s="89">
        <f>HR!Q53</f>
        <v>6</v>
      </c>
      <c r="R6" s="89">
        <f>HR!R53</f>
        <v>6</v>
      </c>
      <c r="S6" s="89">
        <f>HR!S53</f>
        <v>9</v>
      </c>
      <c r="T6" s="89">
        <f>HR!T53</f>
        <v>9</v>
      </c>
      <c r="U6" s="89">
        <f>HR!U53</f>
        <v>9</v>
      </c>
      <c r="V6" s="89">
        <f>HR!V53</f>
        <v>9</v>
      </c>
      <c r="W6" s="89">
        <f>HR!W53</f>
        <v>10</v>
      </c>
      <c r="X6" s="89">
        <f>HR!X53</f>
        <v>10</v>
      </c>
      <c r="Y6" s="89">
        <f>HR!Y53</f>
        <v>10</v>
      </c>
      <c r="Z6" s="89">
        <f>HR!Z53</f>
        <v>11</v>
      </c>
      <c r="AA6" s="89">
        <f>HR!AA53</f>
        <v>11</v>
      </c>
      <c r="AB6" s="89">
        <f>HR!AB53</f>
        <v>11</v>
      </c>
      <c r="AC6" s="89">
        <f>HR!AC53</f>
        <v>11</v>
      </c>
      <c r="AD6" s="89">
        <f>HR!AD53</f>
        <v>12</v>
      </c>
      <c r="AE6" s="89">
        <f>HR!AE53</f>
        <v>12</v>
      </c>
      <c r="AF6" s="89">
        <f>HR!AF53</f>
        <v>13</v>
      </c>
      <c r="AG6" s="89">
        <f>HR!AG53</f>
        <v>13</v>
      </c>
      <c r="AH6" s="89">
        <f>HR!AH53</f>
        <v>13</v>
      </c>
      <c r="AI6" s="89">
        <f>HR!AI53</f>
        <v>14</v>
      </c>
      <c r="AJ6" s="89">
        <f>HR!AJ53</f>
        <v>14</v>
      </c>
      <c r="AK6" s="89">
        <f>HR!AK53</f>
        <v>14</v>
      </c>
      <c r="AL6" s="89">
        <f>HR!AL53</f>
        <v>15</v>
      </c>
      <c r="AM6" s="89">
        <f>HR!AM53</f>
        <v>15</v>
      </c>
      <c r="AN6" s="89">
        <f>HR!AN53</f>
        <v>15</v>
      </c>
      <c r="AO6" s="89">
        <f>HR!AO53</f>
        <v>15</v>
      </c>
      <c r="AP6" s="89">
        <f>HR!AP53</f>
        <v>16</v>
      </c>
    </row>
    <row r="7" spans="1:42">
      <c r="A7" s="17"/>
      <c r="F7" s="18" t="s">
        <v>41</v>
      </c>
      <c r="G7" s="89">
        <f>HR!G54</f>
        <v>2</v>
      </c>
      <c r="H7" s="89">
        <f>HR!H54</f>
        <v>2</v>
      </c>
      <c r="I7" s="89">
        <f>HR!I54</f>
        <v>2</v>
      </c>
      <c r="J7" s="89">
        <f>HR!J54</f>
        <v>2</v>
      </c>
      <c r="K7" s="89">
        <f>HR!K54</f>
        <v>2</v>
      </c>
      <c r="L7" s="89">
        <f>HR!L54</f>
        <v>2</v>
      </c>
      <c r="M7" s="89">
        <f>HR!M54</f>
        <v>2</v>
      </c>
      <c r="N7" s="89">
        <f>HR!N54</f>
        <v>2</v>
      </c>
      <c r="O7" s="89">
        <f>HR!O54</f>
        <v>2</v>
      </c>
      <c r="P7" s="89">
        <f>HR!P54</f>
        <v>2</v>
      </c>
      <c r="Q7" s="89">
        <f>HR!Q54</f>
        <v>2</v>
      </c>
      <c r="R7" s="89">
        <f>HR!R54</f>
        <v>2</v>
      </c>
      <c r="S7" s="89">
        <f>HR!S54</f>
        <v>4</v>
      </c>
      <c r="T7" s="89">
        <f>HR!T54</f>
        <v>4</v>
      </c>
      <c r="U7" s="89">
        <f>HR!U54</f>
        <v>4</v>
      </c>
      <c r="V7" s="89">
        <f>HR!V54</f>
        <v>4</v>
      </c>
      <c r="W7" s="89">
        <f>HR!W54</f>
        <v>4</v>
      </c>
      <c r="X7" s="89">
        <f>HR!X54</f>
        <v>4</v>
      </c>
      <c r="Y7" s="89">
        <f>HR!Y54</f>
        <v>4</v>
      </c>
      <c r="Z7" s="89">
        <f>HR!Z54</f>
        <v>4</v>
      </c>
      <c r="AA7" s="89">
        <f>HR!AA54</f>
        <v>4</v>
      </c>
      <c r="AB7" s="89">
        <f>HR!AB54</f>
        <v>4</v>
      </c>
      <c r="AC7" s="89">
        <f>HR!AC54</f>
        <v>4</v>
      </c>
      <c r="AD7" s="89">
        <f>HR!AD54</f>
        <v>5</v>
      </c>
      <c r="AE7" s="89">
        <f>HR!AE54</f>
        <v>5</v>
      </c>
      <c r="AF7" s="89">
        <f>HR!AF54</f>
        <v>5</v>
      </c>
      <c r="AG7" s="89">
        <f>HR!AG54</f>
        <v>5</v>
      </c>
      <c r="AH7" s="89">
        <f>HR!AH54</f>
        <v>5</v>
      </c>
      <c r="AI7" s="89">
        <f>HR!AI54</f>
        <v>6</v>
      </c>
      <c r="AJ7" s="89">
        <f>HR!AJ54</f>
        <v>6</v>
      </c>
      <c r="AK7" s="89">
        <f>HR!AK54</f>
        <v>6</v>
      </c>
      <c r="AL7" s="89">
        <f>HR!AL54</f>
        <v>6</v>
      </c>
      <c r="AM7" s="89">
        <f>HR!AM54</f>
        <v>6</v>
      </c>
      <c r="AN7" s="89">
        <f>HR!AN54</f>
        <v>6</v>
      </c>
      <c r="AO7" s="89">
        <f>HR!AO54</f>
        <v>6</v>
      </c>
      <c r="AP7" s="89">
        <f>HR!AP54</f>
        <v>6</v>
      </c>
    </row>
    <row r="8" spans="1:42">
      <c r="A8" s="17"/>
      <c r="F8" s="18" t="s">
        <v>42</v>
      </c>
      <c r="G8" s="89">
        <f>HR!G55</f>
        <v>1</v>
      </c>
      <c r="H8" s="89">
        <f>HR!H55</f>
        <v>1</v>
      </c>
      <c r="I8" s="89">
        <f>HR!I55</f>
        <v>1</v>
      </c>
      <c r="J8" s="89">
        <f>HR!J55</f>
        <v>1</v>
      </c>
      <c r="K8" s="89">
        <f>HR!K55</f>
        <v>1</v>
      </c>
      <c r="L8" s="89">
        <f>HR!L55</f>
        <v>1</v>
      </c>
      <c r="M8" s="89">
        <f>HR!M55</f>
        <v>1</v>
      </c>
      <c r="N8" s="89">
        <f>HR!N55</f>
        <v>1</v>
      </c>
      <c r="O8" s="89">
        <f>HR!O55</f>
        <v>1</v>
      </c>
      <c r="P8" s="89">
        <f>HR!P55</f>
        <v>1</v>
      </c>
      <c r="Q8" s="89">
        <f>HR!Q55</f>
        <v>1</v>
      </c>
      <c r="R8" s="89">
        <f>HR!R55</f>
        <v>1</v>
      </c>
      <c r="S8" s="89">
        <f>HR!S55</f>
        <v>2</v>
      </c>
      <c r="T8" s="89">
        <f>HR!T55</f>
        <v>2</v>
      </c>
      <c r="U8" s="89">
        <f>HR!U55</f>
        <v>2</v>
      </c>
      <c r="V8" s="89">
        <f>HR!V55</f>
        <v>2</v>
      </c>
      <c r="W8" s="89">
        <f>HR!W55</f>
        <v>2</v>
      </c>
      <c r="X8" s="89">
        <f>HR!X55</f>
        <v>2</v>
      </c>
      <c r="Y8" s="89">
        <f>HR!Y55</f>
        <v>2</v>
      </c>
      <c r="Z8" s="89">
        <f>HR!Z55</f>
        <v>2</v>
      </c>
      <c r="AA8" s="89">
        <f>HR!AA55</f>
        <v>2</v>
      </c>
      <c r="AB8" s="89">
        <f>HR!AB55</f>
        <v>2</v>
      </c>
      <c r="AC8" s="89">
        <f>HR!AC55</f>
        <v>2</v>
      </c>
      <c r="AD8" s="89">
        <f>HR!AD55</f>
        <v>2</v>
      </c>
      <c r="AE8" s="89">
        <f>HR!AE55</f>
        <v>2</v>
      </c>
      <c r="AF8" s="89">
        <f>HR!AF55</f>
        <v>3</v>
      </c>
      <c r="AG8" s="89">
        <f>HR!AG55</f>
        <v>3</v>
      </c>
      <c r="AH8" s="89">
        <f>HR!AH55</f>
        <v>3</v>
      </c>
      <c r="AI8" s="89">
        <f>HR!AI55</f>
        <v>3</v>
      </c>
      <c r="AJ8" s="89">
        <f>HR!AJ55</f>
        <v>3</v>
      </c>
      <c r="AK8" s="89">
        <f>HR!AK55</f>
        <v>3</v>
      </c>
      <c r="AL8" s="89">
        <f>HR!AL55</f>
        <v>3</v>
      </c>
      <c r="AM8" s="89">
        <f>HR!AM55</f>
        <v>3</v>
      </c>
      <c r="AN8" s="89">
        <f>HR!AN55</f>
        <v>3</v>
      </c>
      <c r="AO8" s="89">
        <f>HR!AO55</f>
        <v>3</v>
      </c>
      <c r="AP8" s="89">
        <f>HR!AP55</f>
        <v>3</v>
      </c>
    </row>
    <row r="9" spans="1:42">
      <c r="A9" s="17"/>
      <c r="F9" s="18" t="s">
        <v>43</v>
      </c>
      <c r="G9" s="89">
        <f>HR!G56</f>
        <v>2</v>
      </c>
      <c r="H9" s="89">
        <f>HR!H56</f>
        <v>3</v>
      </c>
      <c r="I9" s="89">
        <f>HR!I56</f>
        <v>3</v>
      </c>
      <c r="J9" s="89">
        <f>HR!J56</f>
        <v>4</v>
      </c>
      <c r="K9" s="89">
        <f>HR!K56</f>
        <v>4</v>
      </c>
      <c r="L9" s="89">
        <f>HR!L56</f>
        <v>4</v>
      </c>
      <c r="M9" s="89">
        <f>HR!M56</f>
        <v>4</v>
      </c>
      <c r="N9" s="89">
        <f>HR!N56</f>
        <v>4</v>
      </c>
      <c r="O9" s="89">
        <f>HR!O56</f>
        <v>4</v>
      </c>
      <c r="P9" s="89">
        <f>HR!P56</f>
        <v>4</v>
      </c>
      <c r="Q9" s="89">
        <f>HR!Q56</f>
        <v>4</v>
      </c>
      <c r="R9" s="89">
        <f>HR!R56</f>
        <v>4</v>
      </c>
      <c r="S9" s="89">
        <f>HR!S56</f>
        <v>5</v>
      </c>
      <c r="T9" s="89">
        <f>HR!T56</f>
        <v>5</v>
      </c>
      <c r="U9" s="89">
        <f>HR!U56</f>
        <v>5</v>
      </c>
      <c r="V9" s="89">
        <f>HR!V56</f>
        <v>5</v>
      </c>
      <c r="W9" s="89">
        <f>HR!W56</f>
        <v>6</v>
      </c>
      <c r="X9" s="89">
        <f>HR!X56</f>
        <v>6</v>
      </c>
      <c r="Y9" s="89">
        <f>HR!Y56</f>
        <v>6</v>
      </c>
      <c r="Z9" s="89">
        <f>HR!Z56</f>
        <v>7</v>
      </c>
      <c r="AA9" s="89">
        <f>HR!AA56</f>
        <v>7</v>
      </c>
      <c r="AB9" s="89">
        <f>HR!AB56</f>
        <v>7</v>
      </c>
      <c r="AC9" s="89">
        <f>HR!AC56</f>
        <v>7</v>
      </c>
      <c r="AD9" s="89">
        <f>HR!AD56</f>
        <v>7</v>
      </c>
      <c r="AE9" s="89">
        <f>HR!AE56</f>
        <v>7</v>
      </c>
      <c r="AF9" s="89">
        <f>HR!AF56</f>
        <v>8</v>
      </c>
      <c r="AG9" s="89">
        <f>HR!AG56</f>
        <v>8</v>
      </c>
      <c r="AH9" s="89">
        <f>HR!AH56</f>
        <v>8</v>
      </c>
      <c r="AI9" s="89">
        <f>HR!AI56</f>
        <v>8</v>
      </c>
      <c r="AJ9" s="89">
        <f>HR!AJ56</f>
        <v>8</v>
      </c>
      <c r="AK9" s="89">
        <f>HR!AK56</f>
        <v>8</v>
      </c>
      <c r="AL9" s="89">
        <f>HR!AL56</f>
        <v>9</v>
      </c>
      <c r="AM9" s="89">
        <f>HR!AM56</f>
        <v>9</v>
      </c>
      <c r="AN9" s="89">
        <f>HR!AN56</f>
        <v>9</v>
      </c>
      <c r="AO9" s="89">
        <f>HR!AO56</f>
        <v>9</v>
      </c>
      <c r="AP9" s="89">
        <f>HR!AP56</f>
        <v>10</v>
      </c>
    </row>
    <row r="10" spans="1:42">
      <c r="A10" s="17"/>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row>
    <row r="11" spans="1:42">
      <c r="A11" s="17"/>
      <c r="F11" s="18" t="s">
        <v>217</v>
      </c>
      <c r="G11" s="90">
        <f>'Umsatz | COGS'!G51</f>
        <v>8750</v>
      </c>
      <c r="H11" s="90">
        <f>'Umsatz | COGS'!H51</f>
        <v>20000</v>
      </c>
      <c r="I11" s="90">
        <f>'Umsatz | COGS'!I51</f>
        <v>28750</v>
      </c>
      <c r="J11" s="90">
        <f>'Umsatz | COGS'!J51</f>
        <v>40559.65</v>
      </c>
      <c r="K11" s="90">
        <f>'Umsatz | COGS'!K51</f>
        <v>42078.7</v>
      </c>
      <c r="L11" s="90">
        <f>'Umsatz | COGS'!L51</f>
        <v>43597.75</v>
      </c>
      <c r="M11" s="90">
        <f>'Umsatz | COGS'!M51</f>
        <v>45116.800000000003</v>
      </c>
      <c r="N11" s="90">
        <f>'Umsatz | COGS'!N51</f>
        <v>52885.85</v>
      </c>
      <c r="O11" s="90">
        <f>'Umsatz | COGS'!O51</f>
        <v>54404.9</v>
      </c>
      <c r="P11" s="90">
        <f>'Umsatz | COGS'!P51</f>
        <v>62173.95</v>
      </c>
      <c r="Q11" s="90">
        <f>'Umsatz | COGS'!Q51</f>
        <v>64092.75</v>
      </c>
      <c r="R11" s="90">
        <f>'Umsatz | COGS'!R51</f>
        <v>66011.55</v>
      </c>
      <c r="S11" s="90">
        <f>'Umsatz | COGS'!S51</f>
        <v>81680.350000000006</v>
      </c>
      <c r="T11" s="90">
        <f>'Umsatz | COGS'!T51</f>
        <v>96099.15</v>
      </c>
      <c r="U11" s="90">
        <f>'Umsatz | COGS'!U51</f>
        <v>111767.95</v>
      </c>
      <c r="V11" s="90">
        <f>'Umsatz | COGS'!V51</f>
        <v>126506.55</v>
      </c>
      <c r="W11" s="90">
        <f>'Umsatz | COGS'!W51</f>
        <v>129704.55</v>
      </c>
      <c r="X11" s="90">
        <f>'Umsatz | COGS'!X51</f>
        <v>132902.54999999999</v>
      </c>
      <c r="Y11" s="90">
        <f>'Umsatz | COGS'!Y51</f>
        <v>143600.54999999999</v>
      </c>
      <c r="Z11" s="90">
        <f>'Umsatz | COGS'!Z51</f>
        <v>153048.54999999999</v>
      </c>
      <c r="AA11" s="90">
        <f>'Umsatz | COGS'!AA51</f>
        <v>163746.54999999999</v>
      </c>
      <c r="AB11" s="90">
        <f>'Umsatz | COGS'!AB51</f>
        <v>173994.05</v>
      </c>
      <c r="AC11" s="90">
        <f>'Umsatz | COGS'!AC51</f>
        <v>178151.45</v>
      </c>
      <c r="AD11" s="90">
        <f>'Umsatz | COGS'!AD51</f>
        <v>182308.85</v>
      </c>
      <c r="AE11" s="90">
        <f>'Umsatz | COGS'!AE51</f>
        <v>200775.9</v>
      </c>
      <c r="AF11" s="90">
        <f>'Umsatz | COGS'!AF51</f>
        <v>217992.95</v>
      </c>
      <c r="AG11" s="90">
        <f>'Umsatz | COGS'!AG51</f>
        <v>236460</v>
      </c>
      <c r="AH11" s="90">
        <f>'Umsatz | COGS'!AH51</f>
        <v>254636.45</v>
      </c>
      <c r="AI11" s="90">
        <f>'Umsatz | COGS'!AI51</f>
        <v>261272.3</v>
      </c>
      <c r="AJ11" s="90">
        <f>'Umsatz | COGS'!AJ51</f>
        <v>267908.15000000002</v>
      </c>
      <c r="AK11" s="90">
        <f>'Umsatz | COGS'!AK51</f>
        <v>277044</v>
      </c>
      <c r="AL11" s="90">
        <f>'Umsatz | COGS'!AL51</f>
        <v>292429.84999999998</v>
      </c>
      <c r="AM11" s="90">
        <f>'Umsatz | COGS'!AM51</f>
        <v>301565.7</v>
      </c>
      <c r="AN11" s="90">
        <f>'Umsatz | COGS'!AN51</f>
        <v>317111.45</v>
      </c>
      <c r="AO11" s="90">
        <f>'Umsatz | COGS'!AO51</f>
        <v>323907.20000000001</v>
      </c>
      <c r="AP11" s="90">
        <f>'Umsatz | COGS'!AP51</f>
        <v>330702.95</v>
      </c>
    </row>
    <row r="12" spans="1:42">
      <c r="A12" s="17"/>
    </row>
    <row r="13" spans="1:42">
      <c r="A13" s="17"/>
      <c r="F13" s="18" t="s">
        <v>210</v>
      </c>
      <c r="G13" s="90">
        <f>'Umsatz | COGS'!G10</f>
        <v>10000</v>
      </c>
      <c r="H13" s="90">
        <f>'Umsatz | COGS'!H10</f>
        <v>10000</v>
      </c>
      <c r="I13" s="90">
        <f>'Umsatz | COGS'!I10</f>
        <v>10000</v>
      </c>
      <c r="J13" s="90">
        <f>'Umsatz | COGS'!J10</f>
        <v>10000</v>
      </c>
      <c r="K13" s="90">
        <f>'Umsatz | COGS'!K10</f>
        <v>10000</v>
      </c>
      <c r="L13" s="90">
        <f>'Umsatz | COGS'!L10</f>
        <v>10000</v>
      </c>
      <c r="M13" s="90">
        <f>'Umsatz | COGS'!M10</f>
        <v>15000</v>
      </c>
      <c r="N13" s="90">
        <f>'Umsatz | COGS'!N10</f>
        <v>15000</v>
      </c>
      <c r="O13" s="90">
        <f>'Umsatz | COGS'!O10</f>
        <v>15000</v>
      </c>
      <c r="P13" s="90">
        <f>'Umsatz | COGS'!P10</f>
        <v>15000</v>
      </c>
      <c r="Q13" s="90">
        <f>'Umsatz | COGS'!Q10</f>
        <v>15000</v>
      </c>
      <c r="R13" s="90">
        <f>'Umsatz | COGS'!R10</f>
        <v>15000</v>
      </c>
      <c r="S13" s="90">
        <f>'Umsatz | COGS'!S10</f>
        <v>20000</v>
      </c>
      <c r="T13" s="90">
        <f>'Umsatz | COGS'!T10</f>
        <v>20000</v>
      </c>
      <c r="U13" s="90">
        <f>'Umsatz | COGS'!U10</f>
        <v>20000</v>
      </c>
      <c r="V13" s="90">
        <f>'Umsatz | COGS'!V10</f>
        <v>20000</v>
      </c>
      <c r="W13" s="90">
        <f>'Umsatz | COGS'!W10</f>
        <v>20000</v>
      </c>
      <c r="X13" s="90">
        <f>'Umsatz | COGS'!X10</f>
        <v>20000</v>
      </c>
      <c r="Y13" s="90">
        <f>'Umsatz | COGS'!Y10</f>
        <v>25000</v>
      </c>
      <c r="Z13" s="90">
        <f>'Umsatz | COGS'!Z10</f>
        <v>25000</v>
      </c>
      <c r="AA13" s="90">
        <f>'Umsatz | COGS'!AA10</f>
        <v>25000</v>
      </c>
      <c r="AB13" s="90">
        <f>'Umsatz | COGS'!AB10</f>
        <v>25000</v>
      </c>
      <c r="AC13" s="90">
        <f>'Umsatz | COGS'!AC10</f>
        <v>25000</v>
      </c>
      <c r="AD13" s="90">
        <f>'Umsatz | COGS'!AD10</f>
        <v>25000</v>
      </c>
      <c r="AE13" s="90">
        <f>'Umsatz | COGS'!AE10</f>
        <v>28000</v>
      </c>
      <c r="AF13" s="90">
        <f>'Umsatz | COGS'!AF10</f>
        <v>28000</v>
      </c>
      <c r="AG13" s="90">
        <f>'Umsatz | COGS'!AG10</f>
        <v>28000</v>
      </c>
      <c r="AH13" s="90">
        <f>'Umsatz | COGS'!AH10</f>
        <v>28000</v>
      </c>
      <c r="AI13" s="90">
        <f>'Umsatz | COGS'!AI10</f>
        <v>28000</v>
      </c>
      <c r="AJ13" s="90">
        <f>'Umsatz | COGS'!AJ10</f>
        <v>28000</v>
      </c>
      <c r="AK13" s="90">
        <f>'Umsatz | COGS'!AK10</f>
        <v>30000</v>
      </c>
      <c r="AL13" s="90">
        <f>'Umsatz | COGS'!AL10</f>
        <v>30000</v>
      </c>
      <c r="AM13" s="90">
        <f>'Umsatz | COGS'!AM10</f>
        <v>30000</v>
      </c>
      <c r="AN13" s="90">
        <f>'Umsatz | COGS'!AN10</f>
        <v>30000</v>
      </c>
      <c r="AO13" s="90">
        <f>'Umsatz | COGS'!AO10</f>
        <v>30000</v>
      </c>
      <c r="AP13" s="90">
        <f>'Umsatz | COGS'!AP10</f>
        <v>30000</v>
      </c>
    </row>
    <row r="14" spans="1:42">
      <c r="A14" s="17"/>
    </row>
    <row r="15" spans="1:42">
      <c r="A15" s="19" t="s">
        <v>132</v>
      </c>
      <c r="B15" s="19"/>
      <c r="C15" s="20"/>
      <c r="D15" s="20"/>
      <c r="E15" s="20"/>
    </row>
    <row r="16" spans="1:42">
      <c r="A16" s="77" t="s">
        <v>301</v>
      </c>
      <c r="B16" s="77"/>
      <c r="C16" s="77"/>
      <c r="D16" s="77"/>
      <c r="E16" s="77"/>
    </row>
    <row r="17" spans="1:42" ht="16">
      <c r="A17" s="18" t="s">
        <v>51</v>
      </c>
      <c r="B17" s="34">
        <v>25</v>
      </c>
      <c r="F17" s="35" t="s">
        <v>52</v>
      </c>
      <c r="G17" s="18">
        <f t="shared" ref="G17:AP17" si="1">$B17*G7</f>
        <v>50</v>
      </c>
      <c r="H17" s="18">
        <f t="shared" si="1"/>
        <v>50</v>
      </c>
      <c r="I17" s="18">
        <f t="shared" si="1"/>
        <v>50</v>
      </c>
      <c r="J17" s="18">
        <f t="shared" si="1"/>
        <v>50</v>
      </c>
      <c r="K17" s="18">
        <f t="shared" si="1"/>
        <v>50</v>
      </c>
      <c r="L17" s="18">
        <f t="shared" si="1"/>
        <v>50</v>
      </c>
      <c r="M17" s="18">
        <f t="shared" si="1"/>
        <v>50</v>
      </c>
      <c r="N17" s="18">
        <f t="shared" si="1"/>
        <v>50</v>
      </c>
      <c r="O17" s="18">
        <f t="shared" si="1"/>
        <v>50</v>
      </c>
      <c r="P17" s="18">
        <f t="shared" si="1"/>
        <v>50</v>
      </c>
      <c r="Q17" s="18">
        <f t="shared" si="1"/>
        <v>50</v>
      </c>
      <c r="R17" s="18">
        <f t="shared" si="1"/>
        <v>50</v>
      </c>
      <c r="S17" s="18">
        <f t="shared" si="1"/>
        <v>100</v>
      </c>
      <c r="T17" s="18">
        <f t="shared" si="1"/>
        <v>100</v>
      </c>
      <c r="U17" s="18">
        <f t="shared" si="1"/>
        <v>100</v>
      </c>
      <c r="V17" s="18">
        <f t="shared" si="1"/>
        <v>100</v>
      </c>
      <c r="W17" s="18">
        <f t="shared" si="1"/>
        <v>100</v>
      </c>
      <c r="X17" s="18">
        <f t="shared" si="1"/>
        <v>100</v>
      </c>
      <c r="Y17" s="18">
        <f t="shared" si="1"/>
        <v>100</v>
      </c>
      <c r="Z17" s="18">
        <f t="shared" si="1"/>
        <v>100</v>
      </c>
      <c r="AA17" s="18">
        <f t="shared" si="1"/>
        <v>100</v>
      </c>
      <c r="AB17" s="18">
        <f t="shared" si="1"/>
        <v>100</v>
      </c>
      <c r="AC17" s="18">
        <f t="shared" si="1"/>
        <v>100</v>
      </c>
      <c r="AD17" s="18">
        <f t="shared" si="1"/>
        <v>125</v>
      </c>
      <c r="AE17" s="18">
        <f t="shared" si="1"/>
        <v>125</v>
      </c>
      <c r="AF17" s="18">
        <f t="shared" si="1"/>
        <v>125</v>
      </c>
      <c r="AG17" s="18">
        <f t="shared" si="1"/>
        <v>125</v>
      </c>
      <c r="AH17" s="18">
        <f t="shared" si="1"/>
        <v>125</v>
      </c>
      <c r="AI17" s="18">
        <f t="shared" si="1"/>
        <v>150</v>
      </c>
      <c r="AJ17" s="18">
        <f t="shared" si="1"/>
        <v>150</v>
      </c>
      <c r="AK17" s="18">
        <f t="shared" si="1"/>
        <v>150</v>
      </c>
      <c r="AL17" s="18">
        <f t="shared" si="1"/>
        <v>150</v>
      </c>
      <c r="AM17" s="18">
        <f t="shared" si="1"/>
        <v>150</v>
      </c>
      <c r="AN17" s="18">
        <f t="shared" si="1"/>
        <v>150</v>
      </c>
      <c r="AO17" s="18">
        <f t="shared" si="1"/>
        <v>150</v>
      </c>
      <c r="AP17" s="18">
        <f t="shared" si="1"/>
        <v>150</v>
      </c>
    </row>
    <row r="18" spans="1:42" s="17" customFormat="1">
      <c r="A18" s="18" t="s">
        <v>53</v>
      </c>
      <c r="B18" s="30">
        <v>22</v>
      </c>
    </row>
    <row r="19" spans="1:42">
      <c r="A19" s="18" t="s">
        <v>260</v>
      </c>
      <c r="B19" s="30">
        <v>1500</v>
      </c>
    </row>
    <row r="22" spans="1:42">
      <c r="B22" s="18" t="s">
        <v>24</v>
      </c>
      <c r="C22" s="18" t="s">
        <v>25</v>
      </c>
      <c r="D22" s="18" t="s">
        <v>26</v>
      </c>
    </row>
    <row r="23" spans="1:42">
      <c r="A23" s="14" t="s">
        <v>303</v>
      </c>
      <c r="B23" s="22">
        <f>SUM(G23:R23)</f>
        <v>18000</v>
      </c>
      <c r="C23" s="22">
        <f>SUM(S23:AD23)</f>
        <v>26950</v>
      </c>
      <c r="D23" s="22">
        <f>SUM(AE23:AP23)</f>
        <v>37400</v>
      </c>
      <c r="F23" s="14" t="s">
        <v>54</v>
      </c>
      <c r="G23" s="22">
        <f t="shared" ref="G23:AP23" si="2">IF($B18*G17&gt;$B$19,$B18*G17,$B$19)</f>
        <v>1500</v>
      </c>
      <c r="H23" s="22">
        <f t="shared" si="2"/>
        <v>1500</v>
      </c>
      <c r="I23" s="22">
        <f t="shared" si="2"/>
        <v>1500</v>
      </c>
      <c r="J23" s="22">
        <f t="shared" si="2"/>
        <v>1500</v>
      </c>
      <c r="K23" s="22">
        <f t="shared" si="2"/>
        <v>1500</v>
      </c>
      <c r="L23" s="22">
        <f t="shared" si="2"/>
        <v>1500</v>
      </c>
      <c r="M23" s="22">
        <f t="shared" si="2"/>
        <v>1500</v>
      </c>
      <c r="N23" s="22">
        <f t="shared" si="2"/>
        <v>1500</v>
      </c>
      <c r="O23" s="22">
        <f t="shared" si="2"/>
        <v>1500</v>
      </c>
      <c r="P23" s="22">
        <f t="shared" si="2"/>
        <v>1500</v>
      </c>
      <c r="Q23" s="22">
        <f t="shared" si="2"/>
        <v>1500</v>
      </c>
      <c r="R23" s="22">
        <f t="shared" si="2"/>
        <v>1500</v>
      </c>
      <c r="S23" s="22">
        <f t="shared" si="2"/>
        <v>2200</v>
      </c>
      <c r="T23" s="22">
        <f t="shared" si="2"/>
        <v>2200</v>
      </c>
      <c r="U23" s="22">
        <f t="shared" si="2"/>
        <v>2200</v>
      </c>
      <c r="V23" s="22">
        <f t="shared" si="2"/>
        <v>2200</v>
      </c>
      <c r="W23" s="22">
        <f t="shared" si="2"/>
        <v>2200</v>
      </c>
      <c r="X23" s="22">
        <f t="shared" si="2"/>
        <v>2200</v>
      </c>
      <c r="Y23" s="22">
        <f t="shared" si="2"/>
        <v>2200</v>
      </c>
      <c r="Z23" s="22">
        <f t="shared" si="2"/>
        <v>2200</v>
      </c>
      <c r="AA23" s="22">
        <f t="shared" si="2"/>
        <v>2200</v>
      </c>
      <c r="AB23" s="22">
        <f t="shared" si="2"/>
        <v>2200</v>
      </c>
      <c r="AC23" s="22">
        <f t="shared" si="2"/>
        <v>2200</v>
      </c>
      <c r="AD23" s="22">
        <f t="shared" si="2"/>
        <v>2750</v>
      </c>
      <c r="AE23" s="22">
        <f t="shared" si="2"/>
        <v>2750</v>
      </c>
      <c r="AF23" s="22">
        <f t="shared" si="2"/>
        <v>2750</v>
      </c>
      <c r="AG23" s="22">
        <f t="shared" si="2"/>
        <v>2750</v>
      </c>
      <c r="AH23" s="22">
        <f t="shared" si="2"/>
        <v>2750</v>
      </c>
      <c r="AI23" s="22">
        <f t="shared" si="2"/>
        <v>3300</v>
      </c>
      <c r="AJ23" s="22">
        <f t="shared" si="2"/>
        <v>3300</v>
      </c>
      <c r="AK23" s="22">
        <f t="shared" si="2"/>
        <v>3300</v>
      </c>
      <c r="AL23" s="22">
        <f t="shared" si="2"/>
        <v>3300</v>
      </c>
      <c r="AM23" s="22">
        <f t="shared" si="2"/>
        <v>3300</v>
      </c>
      <c r="AN23" s="22">
        <f t="shared" si="2"/>
        <v>3300</v>
      </c>
      <c r="AO23" s="22">
        <f t="shared" si="2"/>
        <v>3300</v>
      </c>
      <c r="AP23" s="22">
        <f t="shared" si="2"/>
        <v>3300</v>
      </c>
    </row>
    <row r="24" spans="1:42">
      <c r="A24" s="17"/>
      <c r="B24" s="117"/>
      <c r="C24" s="117"/>
      <c r="D24" s="117"/>
    </row>
    <row r="25" spans="1:42">
      <c r="A25" s="17"/>
      <c r="B25" s="117"/>
      <c r="C25" s="117"/>
      <c r="D25" s="117"/>
    </row>
    <row r="26" spans="1:42">
      <c r="A26" s="77" t="s">
        <v>302</v>
      </c>
      <c r="B26" s="77"/>
      <c r="C26" s="77"/>
      <c r="D26" s="77"/>
      <c r="E26" s="77"/>
      <c r="H26" s="78" t="s">
        <v>220</v>
      </c>
    </row>
    <row r="27" spans="1:42">
      <c r="A27" s="18" t="s">
        <v>56</v>
      </c>
      <c r="B27" s="30">
        <v>3500</v>
      </c>
      <c r="F27" s="18" t="s">
        <v>57</v>
      </c>
      <c r="G27" s="21">
        <f>$B27*G7</f>
        <v>7000</v>
      </c>
      <c r="H27" s="21">
        <f t="shared" ref="H27:AP27" si="3">IF(H7-G7&gt;0,(H7-G7)*$B$27,0)</f>
        <v>0</v>
      </c>
      <c r="I27" s="21">
        <f t="shared" si="3"/>
        <v>0</v>
      </c>
      <c r="J27" s="21">
        <f t="shared" si="3"/>
        <v>0</v>
      </c>
      <c r="K27" s="21">
        <f t="shared" si="3"/>
        <v>0</v>
      </c>
      <c r="L27" s="21">
        <f t="shared" si="3"/>
        <v>0</v>
      </c>
      <c r="M27" s="21">
        <f t="shared" si="3"/>
        <v>0</v>
      </c>
      <c r="N27" s="21">
        <f t="shared" si="3"/>
        <v>0</v>
      </c>
      <c r="O27" s="21">
        <f t="shared" si="3"/>
        <v>0</v>
      </c>
      <c r="P27" s="21">
        <f t="shared" si="3"/>
        <v>0</v>
      </c>
      <c r="Q27" s="21">
        <f t="shared" si="3"/>
        <v>0</v>
      </c>
      <c r="R27" s="21">
        <f t="shared" si="3"/>
        <v>0</v>
      </c>
      <c r="S27" s="21">
        <f t="shared" si="3"/>
        <v>7000</v>
      </c>
      <c r="T27" s="21">
        <f t="shared" si="3"/>
        <v>0</v>
      </c>
      <c r="U27" s="21">
        <f t="shared" si="3"/>
        <v>0</v>
      </c>
      <c r="V27" s="21">
        <f t="shared" si="3"/>
        <v>0</v>
      </c>
      <c r="W27" s="21">
        <f t="shared" si="3"/>
        <v>0</v>
      </c>
      <c r="X27" s="21">
        <f t="shared" si="3"/>
        <v>0</v>
      </c>
      <c r="Y27" s="21">
        <f t="shared" si="3"/>
        <v>0</v>
      </c>
      <c r="Z27" s="21">
        <f t="shared" si="3"/>
        <v>0</v>
      </c>
      <c r="AA27" s="21">
        <f t="shared" si="3"/>
        <v>0</v>
      </c>
      <c r="AB27" s="21">
        <f t="shared" si="3"/>
        <v>0</v>
      </c>
      <c r="AC27" s="21">
        <f t="shared" si="3"/>
        <v>0</v>
      </c>
      <c r="AD27" s="21">
        <f t="shared" si="3"/>
        <v>3500</v>
      </c>
      <c r="AE27" s="21">
        <f t="shared" si="3"/>
        <v>0</v>
      </c>
      <c r="AF27" s="21">
        <f t="shared" si="3"/>
        <v>0</v>
      </c>
      <c r="AG27" s="21">
        <f t="shared" si="3"/>
        <v>0</v>
      </c>
      <c r="AH27" s="21">
        <f t="shared" si="3"/>
        <v>0</v>
      </c>
      <c r="AI27" s="21">
        <f t="shared" si="3"/>
        <v>3500</v>
      </c>
      <c r="AJ27" s="21">
        <f t="shared" si="3"/>
        <v>0</v>
      </c>
      <c r="AK27" s="21">
        <f t="shared" si="3"/>
        <v>0</v>
      </c>
      <c r="AL27" s="21">
        <f t="shared" si="3"/>
        <v>0</v>
      </c>
      <c r="AM27" s="21">
        <f t="shared" si="3"/>
        <v>0</v>
      </c>
      <c r="AN27" s="21">
        <f t="shared" si="3"/>
        <v>0</v>
      </c>
      <c r="AO27" s="21">
        <f t="shared" si="3"/>
        <v>0</v>
      </c>
      <c r="AP27" s="21">
        <f t="shared" si="3"/>
        <v>0</v>
      </c>
    </row>
    <row r="28" spans="1:42">
      <c r="A28" s="18" t="s">
        <v>58</v>
      </c>
      <c r="B28" s="30">
        <v>2500</v>
      </c>
      <c r="F28" s="18" t="s">
        <v>59</v>
      </c>
      <c r="G28" s="21">
        <f>$B28*G9</f>
        <v>5000</v>
      </c>
      <c r="H28" s="21">
        <f t="shared" ref="H28:AP28" si="4">IF(H9-G9&gt;0,(H9-G9)*$B$28,0)</f>
        <v>2500</v>
      </c>
      <c r="I28" s="21">
        <f t="shared" si="4"/>
        <v>0</v>
      </c>
      <c r="J28" s="21">
        <f t="shared" si="4"/>
        <v>2500</v>
      </c>
      <c r="K28" s="21">
        <f t="shared" si="4"/>
        <v>0</v>
      </c>
      <c r="L28" s="21">
        <f t="shared" si="4"/>
        <v>0</v>
      </c>
      <c r="M28" s="21">
        <f t="shared" si="4"/>
        <v>0</v>
      </c>
      <c r="N28" s="21">
        <f t="shared" si="4"/>
        <v>0</v>
      </c>
      <c r="O28" s="21">
        <f t="shared" si="4"/>
        <v>0</v>
      </c>
      <c r="P28" s="21">
        <f t="shared" si="4"/>
        <v>0</v>
      </c>
      <c r="Q28" s="21">
        <f t="shared" si="4"/>
        <v>0</v>
      </c>
      <c r="R28" s="21">
        <f t="shared" si="4"/>
        <v>0</v>
      </c>
      <c r="S28" s="21">
        <f t="shared" si="4"/>
        <v>2500</v>
      </c>
      <c r="T28" s="21">
        <f t="shared" si="4"/>
        <v>0</v>
      </c>
      <c r="U28" s="21">
        <f t="shared" si="4"/>
        <v>0</v>
      </c>
      <c r="V28" s="21">
        <f t="shared" si="4"/>
        <v>0</v>
      </c>
      <c r="W28" s="21">
        <f t="shared" si="4"/>
        <v>2500</v>
      </c>
      <c r="X28" s="21">
        <f t="shared" si="4"/>
        <v>0</v>
      </c>
      <c r="Y28" s="21">
        <f t="shared" si="4"/>
        <v>0</v>
      </c>
      <c r="Z28" s="21">
        <f t="shared" si="4"/>
        <v>2500</v>
      </c>
      <c r="AA28" s="21">
        <f t="shared" si="4"/>
        <v>0</v>
      </c>
      <c r="AB28" s="21">
        <f t="shared" si="4"/>
        <v>0</v>
      </c>
      <c r="AC28" s="21">
        <f t="shared" si="4"/>
        <v>0</v>
      </c>
      <c r="AD28" s="21">
        <f t="shared" si="4"/>
        <v>0</v>
      </c>
      <c r="AE28" s="21">
        <f t="shared" si="4"/>
        <v>0</v>
      </c>
      <c r="AF28" s="21">
        <f t="shared" si="4"/>
        <v>2500</v>
      </c>
      <c r="AG28" s="21">
        <f t="shared" si="4"/>
        <v>0</v>
      </c>
      <c r="AH28" s="21">
        <f t="shared" si="4"/>
        <v>0</v>
      </c>
      <c r="AI28" s="21">
        <f t="shared" si="4"/>
        <v>0</v>
      </c>
      <c r="AJ28" s="21">
        <f t="shared" si="4"/>
        <v>0</v>
      </c>
      <c r="AK28" s="21">
        <f t="shared" si="4"/>
        <v>0</v>
      </c>
      <c r="AL28" s="21">
        <f t="shared" si="4"/>
        <v>2500</v>
      </c>
      <c r="AM28" s="21">
        <f t="shared" si="4"/>
        <v>0</v>
      </c>
      <c r="AN28" s="21">
        <f t="shared" si="4"/>
        <v>0</v>
      </c>
      <c r="AO28" s="21">
        <f t="shared" si="4"/>
        <v>0</v>
      </c>
      <c r="AP28" s="21">
        <f t="shared" si="4"/>
        <v>2500</v>
      </c>
    </row>
    <row r="29" spans="1:42">
      <c r="A29" s="18" t="s">
        <v>60</v>
      </c>
      <c r="B29" s="30">
        <v>200</v>
      </c>
      <c r="F29" s="18" t="s">
        <v>61</v>
      </c>
      <c r="G29" s="21">
        <f t="shared" ref="G29:AP29" si="5">$B29*G6</f>
        <v>800</v>
      </c>
      <c r="H29" s="21">
        <f t="shared" si="5"/>
        <v>1000</v>
      </c>
      <c r="I29" s="21">
        <f t="shared" si="5"/>
        <v>1000</v>
      </c>
      <c r="J29" s="21">
        <f t="shared" si="5"/>
        <v>1200</v>
      </c>
      <c r="K29" s="21">
        <f t="shared" si="5"/>
        <v>1200</v>
      </c>
      <c r="L29" s="21">
        <f t="shared" si="5"/>
        <v>1200</v>
      </c>
      <c r="M29" s="21">
        <f t="shared" si="5"/>
        <v>1200</v>
      </c>
      <c r="N29" s="21">
        <f t="shared" si="5"/>
        <v>1200</v>
      </c>
      <c r="O29" s="21">
        <f t="shared" si="5"/>
        <v>1200</v>
      </c>
      <c r="P29" s="21">
        <f t="shared" si="5"/>
        <v>1200</v>
      </c>
      <c r="Q29" s="21">
        <f t="shared" si="5"/>
        <v>1200</v>
      </c>
      <c r="R29" s="21">
        <f t="shared" si="5"/>
        <v>1200</v>
      </c>
      <c r="S29" s="21">
        <f t="shared" si="5"/>
        <v>1800</v>
      </c>
      <c r="T29" s="21">
        <f t="shared" si="5"/>
        <v>1800</v>
      </c>
      <c r="U29" s="21">
        <f t="shared" si="5"/>
        <v>1800</v>
      </c>
      <c r="V29" s="21">
        <f t="shared" si="5"/>
        <v>1800</v>
      </c>
      <c r="W29" s="21">
        <f t="shared" si="5"/>
        <v>2000</v>
      </c>
      <c r="X29" s="21">
        <f t="shared" si="5"/>
        <v>2000</v>
      </c>
      <c r="Y29" s="21">
        <f t="shared" si="5"/>
        <v>2000</v>
      </c>
      <c r="Z29" s="21">
        <f t="shared" si="5"/>
        <v>2200</v>
      </c>
      <c r="AA29" s="21">
        <f t="shared" si="5"/>
        <v>2200</v>
      </c>
      <c r="AB29" s="21">
        <f t="shared" si="5"/>
        <v>2200</v>
      </c>
      <c r="AC29" s="21">
        <f t="shared" si="5"/>
        <v>2200</v>
      </c>
      <c r="AD29" s="21">
        <f t="shared" si="5"/>
        <v>2400</v>
      </c>
      <c r="AE29" s="21">
        <f t="shared" si="5"/>
        <v>2400</v>
      </c>
      <c r="AF29" s="21">
        <f t="shared" si="5"/>
        <v>2600</v>
      </c>
      <c r="AG29" s="21">
        <f t="shared" si="5"/>
        <v>2600</v>
      </c>
      <c r="AH29" s="21">
        <f t="shared" si="5"/>
        <v>2600</v>
      </c>
      <c r="AI29" s="21">
        <f t="shared" si="5"/>
        <v>2800</v>
      </c>
      <c r="AJ29" s="21">
        <f t="shared" si="5"/>
        <v>2800</v>
      </c>
      <c r="AK29" s="21">
        <f t="shared" si="5"/>
        <v>2800</v>
      </c>
      <c r="AL29" s="21">
        <f t="shared" si="5"/>
        <v>3000</v>
      </c>
      <c r="AM29" s="21">
        <f t="shared" si="5"/>
        <v>3000</v>
      </c>
      <c r="AN29" s="21">
        <f t="shared" si="5"/>
        <v>3000</v>
      </c>
      <c r="AO29" s="21">
        <f t="shared" si="5"/>
        <v>3000</v>
      </c>
      <c r="AP29" s="21">
        <f t="shared" si="5"/>
        <v>3200</v>
      </c>
    </row>
    <row r="30" spans="1:42" s="17" customFormat="1"/>
    <row r="31" spans="1:42">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row>
    <row r="32" spans="1:42">
      <c r="B32" s="18" t="s">
        <v>24</v>
      </c>
      <c r="C32" s="18" t="s">
        <v>25</v>
      </c>
      <c r="D32" s="18" t="s">
        <v>26</v>
      </c>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row>
    <row r="33" spans="1:42">
      <c r="A33" s="14" t="s">
        <v>304</v>
      </c>
      <c r="B33" s="22">
        <f>SUM(G33:R33)</f>
        <v>30600</v>
      </c>
      <c r="C33" s="22">
        <f>SUM(S33:AD33)</f>
        <v>42400</v>
      </c>
      <c r="D33" s="22">
        <f>SUM(AE33:AP33)</f>
        <v>44800</v>
      </c>
      <c r="F33" s="14" t="s">
        <v>62</v>
      </c>
      <c r="G33" s="22">
        <f t="shared" ref="G33:AP33" si="6">SUM(G27:G29)</f>
        <v>12800</v>
      </c>
      <c r="H33" s="22">
        <f t="shared" si="6"/>
        <v>3500</v>
      </c>
      <c r="I33" s="22">
        <f t="shared" si="6"/>
        <v>1000</v>
      </c>
      <c r="J33" s="22">
        <f t="shared" si="6"/>
        <v>3700</v>
      </c>
      <c r="K33" s="22">
        <f t="shared" si="6"/>
        <v>1200</v>
      </c>
      <c r="L33" s="22">
        <f t="shared" si="6"/>
        <v>1200</v>
      </c>
      <c r="M33" s="22">
        <f t="shared" si="6"/>
        <v>1200</v>
      </c>
      <c r="N33" s="22">
        <f t="shared" si="6"/>
        <v>1200</v>
      </c>
      <c r="O33" s="22">
        <f t="shared" si="6"/>
        <v>1200</v>
      </c>
      <c r="P33" s="22">
        <f t="shared" si="6"/>
        <v>1200</v>
      </c>
      <c r="Q33" s="22">
        <f t="shared" si="6"/>
        <v>1200</v>
      </c>
      <c r="R33" s="22">
        <f t="shared" si="6"/>
        <v>1200</v>
      </c>
      <c r="S33" s="22">
        <f t="shared" si="6"/>
        <v>11300</v>
      </c>
      <c r="T33" s="22">
        <f t="shared" si="6"/>
        <v>1800</v>
      </c>
      <c r="U33" s="22">
        <f t="shared" si="6"/>
        <v>1800</v>
      </c>
      <c r="V33" s="22">
        <f t="shared" si="6"/>
        <v>1800</v>
      </c>
      <c r="W33" s="22">
        <f t="shared" si="6"/>
        <v>4500</v>
      </c>
      <c r="X33" s="22">
        <f t="shared" si="6"/>
        <v>2000</v>
      </c>
      <c r="Y33" s="22">
        <f t="shared" si="6"/>
        <v>2000</v>
      </c>
      <c r="Z33" s="22">
        <f t="shared" si="6"/>
        <v>4700</v>
      </c>
      <c r="AA33" s="22">
        <f t="shared" si="6"/>
        <v>2200</v>
      </c>
      <c r="AB33" s="22">
        <f t="shared" si="6"/>
        <v>2200</v>
      </c>
      <c r="AC33" s="22">
        <f t="shared" si="6"/>
        <v>2200</v>
      </c>
      <c r="AD33" s="22">
        <f t="shared" si="6"/>
        <v>5900</v>
      </c>
      <c r="AE33" s="22">
        <f t="shared" si="6"/>
        <v>2400</v>
      </c>
      <c r="AF33" s="22">
        <f t="shared" si="6"/>
        <v>5100</v>
      </c>
      <c r="AG33" s="22">
        <f t="shared" si="6"/>
        <v>2600</v>
      </c>
      <c r="AH33" s="22">
        <f t="shared" si="6"/>
        <v>2600</v>
      </c>
      <c r="AI33" s="22">
        <f t="shared" si="6"/>
        <v>6300</v>
      </c>
      <c r="AJ33" s="22">
        <f t="shared" si="6"/>
        <v>2800</v>
      </c>
      <c r="AK33" s="22">
        <f t="shared" si="6"/>
        <v>2800</v>
      </c>
      <c r="AL33" s="22">
        <f t="shared" si="6"/>
        <v>5500</v>
      </c>
      <c r="AM33" s="22">
        <f t="shared" si="6"/>
        <v>3000</v>
      </c>
      <c r="AN33" s="22">
        <f t="shared" si="6"/>
        <v>3000</v>
      </c>
      <c r="AO33" s="22">
        <f t="shared" si="6"/>
        <v>3000</v>
      </c>
      <c r="AP33" s="22">
        <f t="shared" si="6"/>
        <v>5700</v>
      </c>
    </row>
    <row r="34" spans="1:42">
      <c r="F34" s="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c r="AO34" s="117"/>
      <c r="AP34" s="117"/>
    </row>
    <row r="35" spans="1:42">
      <c r="F35" s="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row>
    <row r="36" spans="1:42">
      <c r="A36" s="77" t="s">
        <v>306</v>
      </c>
      <c r="B36" s="77"/>
      <c r="C36" s="77"/>
      <c r="D36" s="77"/>
      <c r="E36" s="77"/>
    </row>
    <row r="37" spans="1:42" s="17" customFormat="1">
      <c r="A37" s="18" t="s">
        <v>64</v>
      </c>
      <c r="B37" s="30">
        <v>25</v>
      </c>
    </row>
    <row r="38" spans="1:42">
      <c r="A38" s="26" t="s">
        <v>66</v>
      </c>
    </row>
    <row r="39" spans="1:42">
      <c r="A39" s="26"/>
    </row>
    <row r="40" spans="1:42">
      <c r="B40" s="18" t="s">
        <v>24</v>
      </c>
      <c r="C40" s="18" t="s">
        <v>25</v>
      </c>
      <c r="D40" s="18" t="s">
        <v>26</v>
      </c>
    </row>
    <row r="41" spans="1:42">
      <c r="A41" s="14" t="s">
        <v>305</v>
      </c>
      <c r="B41" s="22">
        <f>SUM(G41:R41)</f>
        <v>1700</v>
      </c>
      <c r="C41" s="22">
        <f>SUM(S41:AD41)</f>
        <v>3050</v>
      </c>
      <c r="D41" s="22">
        <f>SUM(AE41:AP41)</f>
        <v>4225</v>
      </c>
      <c r="F41" s="14" t="s">
        <v>65</v>
      </c>
      <c r="G41" s="22">
        <f t="shared" ref="G41:AP41" si="7">G6*$B$37</f>
        <v>100</v>
      </c>
      <c r="H41" s="22">
        <f t="shared" si="7"/>
        <v>125</v>
      </c>
      <c r="I41" s="22">
        <f t="shared" si="7"/>
        <v>125</v>
      </c>
      <c r="J41" s="22">
        <f t="shared" si="7"/>
        <v>150</v>
      </c>
      <c r="K41" s="22">
        <f t="shared" si="7"/>
        <v>150</v>
      </c>
      <c r="L41" s="22">
        <f t="shared" si="7"/>
        <v>150</v>
      </c>
      <c r="M41" s="22">
        <f t="shared" si="7"/>
        <v>150</v>
      </c>
      <c r="N41" s="22">
        <f t="shared" si="7"/>
        <v>150</v>
      </c>
      <c r="O41" s="22">
        <f t="shared" si="7"/>
        <v>150</v>
      </c>
      <c r="P41" s="22">
        <f t="shared" si="7"/>
        <v>150</v>
      </c>
      <c r="Q41" s="22">
        <f t="shared" si="7"/>
        <v>150</v>
      </c>
      <c r="R41" s="22">
        <f t="shared" si="7"/>
        <v>150</v>
      </c>
      <c r="S41" s="22">
        <f t="shared" si="7"/>
        <v>225</v>
      </c>
      <c r="T41" s="22">
        <f t="shared" si="7"/>
        <v>225</v>
      </c>
      <c r="U41" s="22">
        <f t="shared" si="7"/>
        <v>225</v>
      </c>
      <c r="V41" s="22">
        <f t="shared" si="7"/>
        <v>225</v>
      </c>
      <c r="W41" s="22">
        <f t="shared" si="7"/>
        <v>250</v>
      </c>
      <c r="X41" s="22">
        <f t="shared" si="7"/>
        <v>250</v>
      </c>
      <c r="Y41" s="22">
        <f t="shared" si="7"/>
        <v>250</v>
      </c>
      <c r="Z41" s="22">
        <f t="shared" si="7"/>
        <v>275</v>
      </c>
      <c r="AA41" s="22">
        <f t="shared" si="7"/>
        <v>275</v>
      </c>
      <c r="AB41" s="22">
        <f t="shared" si="7"/>
        <v>275</v>
      </c>
      <c r="AC41" s="22">
        <f t="shared" si="7"/>
        <v>275</v>
      </c>
      <c r="AD41" s="22">
        <f t="shared" si="7"/>
        <v>300</v>
      </c>
      <c r="AE41" s="22">
        <f t="shared" si="7"/>
        <v>300</v>
      </c>
      <c r="AF41" s="22">
        <f t="shared" si="7"/>
        <v>325</v>
      </c>
      <c r="AG41" s="22">
        <f t="shared" si="7"/>
        <v>325</v>
      </c>
      <c r="AH41" s="22">
        <f t="shared" si="7"/>
        <v>325</v>
      </c>
      <c r="AI41" s="22">
        <f t="shared" si="7"/>
        <v>350</v>
      </c>
      <c r="AJ41" s="22">
        <f t="shared" si="7"/>
        <v>350</v>
      </c>
      <c r="AK41" s="22">
        <f t="shared" si="7"/>
        <v>350</v>
      </c>
      <c r="AL41" s="22">
        <f t="shared" si="7"/>
        <v>375</v>
      </c>
      <c r="AM41" s="22">
        <f t="shared" si="7"/>
        <v>375</v>
      </c>
      <c r="AN41" s="22">
        <f t="shared" si="7"/>
        <v>375</v>
      </c>
      <c r="AO41" s="22">
        <f t="shared" si="7"/>
        <v>375</v>
      </c>
      <c r="AP41" s="22">
        <f t="shared" si="7"/>
        <v>400</v>
      </c>
    </row>
    <row r="44" spans="1:42">
      <c r="A44" s="77" t="s">
        <v>307</v>
      </c>
      <c r="B44" s="77"/>
      <c r="C44" s="77"/>
      <c r="D44" s="77"/>
      <c r="E44" s="77"/>
      <c r="G44" s="78" t="s">
        <v>264</v>
      </c>
    </row>
    <row r="45" spans="1:42">
      <c r="A45" s="18" t="s">
        <v>68</v>
      </c>
      <c r="B45" s="30">
        <v>70</v>
      </c>
      <c r="C45" s="78" t="s">
        <v>263</v>
      </c>
      <c r="D45" s="78"/>
      <c r="E45" s="78"/>
      <c r="F45" s="18" t="s">
        <v>68</v>
      </c>
      <c r="G45" s="29">
        <f t="shared" ref="G45:AP45" si="8">$B$45+G11/1000</f>
        <v>78.75</v>
      </c>
      <c r="H45" s="29">
        <f t="shared" si="8"/>
        <v>90</v>
      </c>
      <c r="I45" s="29">
        <f t="shared" si="8"/>
        <v>98.75</v>
      </c>
      <c r="J45" s="29">
        <f t="shared" si="8"/>
        <v>110.55965</v>
      </c>
      <c r="K45" s="29">
        <f t="shared" si="8"/>
        <v>112.0787</v>
      </c>
      <c r="L45" s="29">
        <f t="shared" si="8"/>
        <v>113.59774999999999</v>
      </c>
      <c r="M45" s="29">
        <f t="shared" si="8"/>
        <v>115.11680000000001</v>
      </c>
      <c r="N45" s="29">
        <f t="shared" si="8"/>
        <v>122.88585</v>
      </c>
      <c r="O45" s="29">
        <f t="shared" si="8"/>
        <v>124.4049</v>
      </c>
      <c r="P45" s="29">
        <f t="shared" si="8"/>
        <v>132.17394999999999</v>
      </c>
      <c r="Q45" s="29">
        <f t="shared" si="8"/>
        <v>134.09275</v>
      </c>
      <c r="R45" s="29">
        <f t="shared" si="8"/>
        <v>136.01155</v>
      </c>
      <c r="S45" s="29">
        <f t="shared" si="8"/>
        <v>151.68035</v>
      </c>
      <c r="T45" s="29">
        <f t="shared" si="8"/>
        <v>166.09915000000001</v>
      </c>
      <c r="U45" s="29">
        <f t="shared" si="8"/>
        <v>181.76794999999998</v>
      </c>
      <c r="V45" s="29">
        <f t="shared" si="8"/>
        <v>196.50655</v>
      </c>
      <c r="W45" s="29">
        <f t="shared" si="8"/>
        <v>199.70455000000001</v>
      </c>
      <c r="X45" s="29">
        <f t="shared" si="8"/>
        <v>202.90254999999999</v>
      </c>
      <c r="Y45" s="29">
        <f t="shared" si="8"/>
        <v>213.60055</v>
      </c>
      <c r="Z45" s="29">
        <f t="shared" si="8"/>
        <v>223.04854999999998</v>
      </c>
      <c r="AA45" s="29">
        <f t="shared" si="8"/>
        <v>233.74654999999998</v>
      </c>
      <c r="AB45" s="29">
        <f t="shared" si="8"/>
        <v>243.99404999999999</v>
      </c>
      <c r="AC45" s="29">
        <f t="shared" si="8"/>
        <v>248.15145000000001</v>
      </c>
      <c r="AD45" s="29">
        <f t="shared" si="8"/>
        <v>252.30885000000001</v>
      </c>
      <c r="AE45" s="29">
        <f t="shared" si="8"/>
        <v>270.77589999999998</v>
      </c>
      <c r="AF45" s="29">
        <f t="shared" si="8"/>
        <v>287.99295000000001</v>
      </c>
      <c r="AG45" s="29">
        <f t="shared" si="8"/>
        <v>306.46000000000004</v>
      </c>
      <c r="AH45" s="29">
        <f t="shared" si="8"/>
        <v>324.63645000000002</v>
      </c>
      <c r="AI45" s="29">
        <f t="shared" si="8"/>
        <v>331.27229999999997</v>
      </c>
      <c r="AJ45" s="29">
        <f t="shared" si="8"/>
        <v>337.90815000000003</v>
      </c>
      <c r="AK45" s="29">
        <f t="shared" si="8"/>
        <v>347.04399999999998</v>
      </c>
      <c r="AL45" s="29">
        <f t="shared" si="8"/>
        <v>362.42984999999999</v>
      </c>
      <c r="AM45" s="29">
        <f t="shared" si="8"/>
        <v>371.56569999999999</v>
      </c>
      <c r="AN45" s="29">
        <f t="shared" si="8"/>
        <v>387.11144999999999</v>
      </c>
      <c r="AO45" s="29">
        <f t="shared" si="8"/>
        <v>393.90719999999999</v>
      </c>
      <c r="AP45" s="29">
        <f t="shared" si="8"/>
        <v>400.70294999999999</v>
      </c>
    </row>
    <row r="46" spans="1:42">
      <c r="A46" s="18" t="s">
        <v>261</v>
      </c>
      <c r="B46" s="30">
        <v>15</v>
      </c>
      <c r="C46" s="78" t="s">
        <v>262</v>
      </c>
      <c r="D46" s="78"/>
      <c r="E46" s="78"/>
      <c r="F46" s="18" t="s">
        <v>261</v>
      </c>
      <c r="G46" s="29">
        <f t="shared" ref="G46:AP46" si="9">G6*$B$46</f>
        <v>60</v>
      </c>
      <c r="H46" s="29">
        <f t="shared" si="9"/>
        <v>75</v>
      </c>
      <c r="I46" s="29">
        <f t="shared" si="9"/>
        <v>75</v>
      </c>
      <c r="J46" s="29">
        <f t="shared" si="9"/>
        <v>90</v>
      </c>
      <c r="K46" s="29">
        <f t="shared" si="9"/>
        <v>90</v>
      </c>
      <c r="L46" s="29">
        <f t="shared" si="9"/>
        <v>90</v>
      </c>
      <c r="M46" s="29">
        <f t="shared" si="9"/>
        <v>90</v>
      </c>
      <c r="N46" s="29">
        <f t="shared" si="9"/>
        <v>90</v>
      </c>
      <c r="O46" s="29">
        <f t="shared" si="9"/>
        <v>90</v>
      </c>
      <c r="P46" s="29">
        <f t="shared" si="9"/>
        <v>90</v>
      </c>
      <c r="Q46" s="29">
        <f t="shared" si="9"/>
        <v>90</v>
      </c>
      <c r="R46" s="29">
        <f t="shared" si="9"/>
        <v>90</v>
      </c>
      <c r="S46" s="29">
        <f t="shared" si="9"/>
        <v>135</v>
      </c>
      <c r="T46" s="29">
        <f t="shared" si="9"/>
        <v>135</v>
      </c>
      <c r="U46" s="29">
        <f t="shared" si="9"/>
        <v>135</v>
      </c>
      <c r="V46" s="29">
        <f t="shared" si="9"/>
        <v>135</v>
      </c>
      <c r="W46" s="29">
        <f t="shared" si="9"/>
        <v>150</v>
      </c>
      <c r="X46" s="29">
        <f t="shared" si="9"/>
        <v>150</v>
      </c>
      <c r="Y46" s="29">
        <f t="shared" si="9"/>
        <v>150</v>
      </c>
      <c r="Z46" s="29">
        <f t="shared" si="9"/>
        <v>165</v>
      </c>
      <c r="AA46" s="29">
        <f t="shared" si="9"/>
        <v>165</v>
      </c>
      <c r="AB46" s="29">
        <f t="shared" si="9"/>
        <v>165</v>
      </c>
      <c r="AC46" s="29">
        <f t="shared" si="9"/>
        <v>165</v>
      </c>
      <c r="AD46" s="29">
        <f t="shared" si="9"/>
        <v>180</v>
      </c>
      <c r="AE46" s="29">
        <f t="shared" si="9"/>
        <v>180</v>
      </c>
      <c r="AF46" s="29">
        <f t="shared" si="9"/>
        <v>195</v>
      </c>
      <c r="AG46" s="29">
        <f t="shared" si="9"/>
        <v>195</v>
      </c>
      <c r="AH46" s="29">
        <f t="shared" si="9"/>
        <v>195</v>
      </c>
      <c r="AI46" s="29">
        <f t="shared" si="9"/>
        <v>210</v>
      </c>
      <c r="AJ46" s="29">
        <f t="shared" si="9"/>
        <v>210</v>
      </c>
      <c r="AK46" s="29">
        <f t="shared" si="9"/>
        <v>210</v>
      </c>
      <c r="AL46" s="29">
        <f t="shared" si="9"/>
        <v>225</v>
      </c>
      <c r="AM46" s="29">
        <f t="shared" si="9"/>
        <v>225</v>
      </c>
      <c r="AN46" s="29">
        <f t="shared" si="9"/>
        <v>225</v>
      </c>
      <c r="AO46" s="29">
        <f t="shared" si="9"/>
        <v>225</v>
      </c>
      <c r="AP46" s="29">
        <f t="shared" si="9"/>
        <v>240</v>
      </c>
    </row>
    <row r="47" spans="1:42">
      <c r="A47" s="18" t="s">
        <v>69</v>
      </c>
      <c r="B47" s="30">
        <v>5000</v>
      </c>
      <c r="C47" s="78" t="s">
        <v>265</v>
      </c>
      <c r="D47" s="78"/>
      <c r="E47" s="78"/>
      <c r="F47" s="18" t="s">
        <v>69</v>
      </c>
      <c r="G47" s="29">
        <f>$B$47/12</f>
        <v>416.66666666666669</v>
      </c>
      <c r="H47" s="29">
        <f t="shared" ref="H47:AP47" si="10">$B$47/12</f>
        <v>416.66666666666669</v>
      </c>
      <c r="I47" s="29">
        <f t="shared" si="10"/>
        <v>416.66666666666669</v>
      </c>
      <c r="J47" s="29">
        <f t="shared" si="10"/>
        <v>416.66666666666669</v>
      </c>
      <c r="K47" s="29">
        <f t="shared" si="10"/>
        <v>416.66666666666669</v>
      </c>
      <c r="L47" s="29">
        <f t="shared" si="10"/>
        <v>416.66666666666669</v>
      </c>
      <c r="M47" s="29">
        <f t="shared" si="10"/>
        <v>416.66666666666669</v>
      </c>
      <c r="N47" s="29">
        <f t="shared" si="10"/>
        <v>416.66666666666669</v>
      </c>
      <c r="O47" s="29">
        <f t="shared" si="10"/>
        <v>416.66666666666669</v>
      </c>
      <c r="P47" s="29">
        <f t="shared" si="10"/>
        <v>416.66666666666669</v>
      </c>
      <c r="Q47" s="29">
        <f t="shared" si="10"/>
        <v>416.66666666666669</v>
      </c>
      <c r="R47" s="29">
        <f t="shared" si="10"/>
        <v>416.66666666666669</v>
      </c>
      <c r="S47" s="29">
        <f t="shared" si="10"/>
        <v>416.66666666666669</v>
      </c>
      <c r="T47" s="29">
        <f t="shared" si="10"/>
        <v>416.66666666666669</v>
      </c>
      <c r="U47" s="29">
        <f t="shared" si="10"/>
        <v>416.66666666666669</v>
      </c>
      <c r="V47" s="29">
        <f t="shared" si="10"/>
        <v>416.66666666666669</v>
      </c>
      <c r="W47" s="29">
        <f t="shared" si="10"/>
        <v>416.66666666666669</v>
      </c>
      <c r="X47" s="29">
        <f t="shared" si="10"/>
        <v>416.66666666666669</v>
      </c>
      <c r="Y47" s="29">
        <f t="shared" si="10"/>
        <v>416.66666666666669</v>
      </c>
      <c r="Z47" s="29">
        <f t="shared" si="10"/>
        <v>416.66666666666669</v>
      </c>
      <c r="AA47" s="29">
        <f t="shared" si="10"/>
        <v>416.66666666666669</v>
      </c>
      <c r="AB47" s="29">
        <f t="shared" si="10"/>
        <v>416.66666666666669</v>
      </c>
      <c r="AC47" s="29">
        <f t="shared" si="10"/>
        <v>416.66666666666669</v>
      </c>
      <c r="AD47" s="29">
        <f t="shared" si="10"/>
        <v>416.66666666666669</v>
      </c>
      <c r="AE47" s="29">
        <f t="shared" si="10"/>
        <v>416.66666666666669</v>
      </c>
      <c r="AF47" s="29">
        <f t="shared" si="10"/>
        <v>416.66666666666669</v>
      </c>
      <c r="AG47" s="29">
        <f t="shared" si="10"/>
        <v>416.66666666666669</v>
      </c>
      <c r="AH47" s="29">
        <f t="shared" si="10"/>
        <v>416.66666666666669</v>
      </c>
      <c r="AI47" s="29">
        <f t="shared" si="10"/>
        <v>416.66666666666669</v>
      </c>
      <c r="AJ47" s="29">
        <f t="shared" si="10"/>
        <v>416.66666666666669</v>
      </c>
      <c r="AK47" s="29">
        <f t="shared" si="10"/>
        <v>416.66666666666669</v>
      </c>
      <c r="AL47" s="29">
        <f t="shared" si="10"/>
        <v>416.66666666666669</v>
      </c>
      <c r="AM47" s="29">
        <f t="shared" si="10"/>
        <v>416.66666666666669</v>
      </c>
      <c r="AN47" s="29">
        <f t="shared" si="10"/>
        <v>416.66666666666669</v>
      </c>
      <c r="AO47" s="29">
        <f t="shared" si="10"/>
        <v>416.66666666666669</v>
      </c>
      <c r="AP47" s="29">
        <f t="shared" si="10"/>
        <v>416.66666666666669</v>
      </c>
    </row>
    <row r="48" spans="1:42" s="17" customFormat="1">
      <c r="A48" s="26" t="s">
        <v>70</v>
      </c>
    </row>
    <row r="50" spans="1:42">
      <c r="B50" s="18" t="s">
        <v>24</v>
      </c>
      <c r="C50" s="18" t="s">
        <v>25</v>
      </c>
      <c r="D50" s="18" t="s">
        <v>26</v>
      </c>
    </row>
    <row r="51" spans="1:42">
      <c r="A51" s="14" t="s">
        <v>71</v>
      </c>
      <c r="B51" s="22">
        <f>SUM(G51:R51)</f>
        <v>7388.4218999999994</v>
      </c>
      <c r="C51" s="22">
        <f>SUM(S51:AD51)</f>
        <v>9343.5111000000015</v>
      </c>
      <c r="D51" s="22">
        <f>SUM(AE51:AP51)</f>
        <v>11656.8069</v>
      </c>
      <c r="F51" s="14" t="s">
        <v>71</v>
      </c>
      <c r="G51" s="22">
        <f t="shared" ref="G51:AP51" si="11">SUM(G45:G47)</f>
        <v>555.41666666666674</v>
      </c>
      <c r="H51" s="22">
        <f t="shared" si="11"/>
        <v>581.66666666666674</v>
      </c>
      <c r="I51" s="22">
        <f t="shared" si="11"/>
        <v>590.41666666666674</v>
      </c>
      <c r="J51" s="22">
        <f t="shared" si="11"/>
        <v>617.22631666666666</v>
      </c>
      <c r="K51" s="22">
        <f t="shared" si="11"/>
        <v>618.74536666666665</v>
      </c>
      <c r="L51" s="22">
        <f t="shared" si="11"/>
        <v>620.26441666666665</v>
      </c>
      <c r="M51" s="22">
        <f t="shared" si="11"/>
        <v>621.78346666666675</v>
      </c>
      <c r="N51" s="22">
        <f t="shared" si="11"/>
        <v>629.55251666666663</v>
      </c>
      <c r="O51" s="22">
        <f t="shared" si="11"/>
        <v>631.07156666666674</v>
      </c>
      <c r="P51" s="22">
        <f t="shared" si="11"/>
        <v>638.84061666666662</v>
      </c>
      <c r="Q51" s="22">
        <f t="shared" si="11"/>
        <v>640.75941666666665</v>
      </c>
      <c r="R51" s="22">
        <f t="shared" si="11"/>
        <v>642.67821666666669</v>
      </c>
      <c r="S51" s="22">
        <f t="shared" si="11"/>
        <v>703.3470166666666</v>
      </c>
      <c r="T51" s="22">
        <f t="shared" si="11"/>
        <v>717.76581666666675</v>
      </c>
      <c r="U51" s="22">
        <f t="shared" si="11"/>
        <v>733.43461666666667</v>
      </c>
      <c r="V51" s="22">
        <f t="shared" si="11"/>
        <v>748.17321666666669</v>
      </c>
      <c r="W51" s="22">
        <f t="shared" si="11"/>
        <v>766.37121666666667</v>
      </c>
      <c r="X51" s="22">
        <f t="shared" si="11"/>
        <v>769.56921666666676</v>
      </c>
      <c r="Y51" s="22">
        <f t="shared" si="11"/>
        <v>780.26721666666663</v>
      </c>
      <c r="Z51" s="22">
        <f t="shared" si="11"/>
        <v>804.71521666666672</v>
      </c>
      <c r="AA51" s="22">
        <f t="shared" si="11"/>
        <v>815.41321666666659</v>
      </c>
      <c r="AB51" s="22">
        <f t="shared" si="11"/>
        <v>825.66071666666676</v>
      </c>
      <c r="AC51" s="22">
        <f t="shared" si="11"/>
        <v>829.8181166666667</v>
      </c>
      <c r="AD51" s="22">
        <f t="shared" si="11"/>
        <v>848.97551666666664</v>
      </c>
      <c r="AE51" s="22">
        <f t="shared" si="11"/>
        <v>867.44256666666661</v>
      </c>
      <c r="AF51" s="22">
        <f t="shared" si="11"/>
        <v>899.65961666666669</v>
      </c>
      <c r="AG51" s="22">
        <f t="shared" si="11"/>
        <v>918.12666666666678</v>
      </c>
      <c r="AH51" s="22">
        <f t="shared" si="11"/>
        <v>936.30311666666671</v>
      </c>
      <c r="AI51" s="22">
        <f t="shared" si="11"/>
        <v>957.9389666666666</v>
      </c>
      <c r="AJ51" s="22">
        <f t="shared" si="11"/>
        <v>964.57481666666672</v>
      </c>
      <c r="AK51" s="22">
        <f t="shared" si="11"/>
        <v>973.71066666666661</v>
      </c>
      <c r="AL51" s="22">
        <f t="shared" si="11"/>
        <v>1004.0965166666667</v>
      </c>
      <c r="AM51" s="22">
        <f t="shared" si="11"/>
        <v>1013.2323666666666</v>
      </c>
      <c r="AN51" s="22">
        <f t="shared" si="11"/>
        <v>1028.7781166666666</v>
      </c>
      <c r="AO51" s="22">
        <f t="shared" si="11"/>
        <v>1035.5738666666666</v>
      </c>
      <c r="AP51" s="22">
        <f t="shared" si="11"/>
        <v>1057.3696166666666</v>
      </c>
    </row>
    <row r="54" spans="1:42">
      <c r="A54" s="77" t="s">
        <v>308</v>
      </c>
      <c r="B54" s="77"/>
      <c r="C54" s="77"/>
      <c r="D54" s="77"/>
      <c r="E54" s="77"/>
    </row>
    <row r="55" spans="1:42">
      <c r="A55" s="18" t="s">
        <v>73</v>
      </c>
      <c r="B55" s="30">
        <v>2500</v>
      </c>
      <c r="C55" s="78" t="s">
        <v>263</v>
      </c>
      <c r="D55" s="78"/>
      <c r="E55" s="78"/>
      <c r="F55" s="18" t="s">
        <v>73</v>
      </c>
      <c r="G55" s="29">
        <f>$B$55</f>
        <v>2500</v>
      </c>
      <c r="H55" s="29">
        <f t="shared" ref="H55:AP55" si="12">$B$55</f>
        <v>2500</v>
      </c>
      <c r="I55" s="29">
        <f t="shared" si="12"/>
        <v>2500</v>
      </c>
      <c r="J55" s="29">
        <f t="shared" si="12"/>
        <v>2500</v>
      </c>
      <c r="K55" s="29">
        <f t="shared" si="12"/>
        <v>2500</v>
      </c>
      <c r="L55" s="29">
        <f t="shared" si="12"/>
        <v>2500</v>
      </c>
      <c r="M55" s="29">
        <f t="shared" si="12"/>
        <v>2500</v>
      </c>
      <c r="N55" s="29">
        <f t="shared" si="12"/>
        <v>2500</v>
      </c>
      <c r="O55" s="29">
        <f t="shared" si="12"/>
        <v>2500</v>
      </c>
      <c r="P55" s="29">
        <f t="shared" si="12"/>
        <v>2500</v>
      </c>
      <c r="Q55" s="29">
        <f t="shared" si="12"/>
        <v>2500</v>
      </c>
      <c r="R55" s="29">
        <f t="shared" si="12"/>
        <v>2500</v>
      </c>
      <c r="S55" s="29">
        <f t="shared" si="12"/>
        <v>2500</v>
      </c>
      <c r="T55" s="29">
        <f t="shared" si="12"/>
        <v>2500</v>
      </c>
      <c r="U55" s="29">
        <f t="shared" si="12"/>
        <v>2500</v>
      </c>
      <c r="V55" s="29">
        <f t="shared" si="12"/>
        <v>2500</v>
      </c>
      <c r="W55" s="29">
        <f t="shared" si="12"/>
        <v>2500</v>
      </c>
      <c r="X55" s="29">
        <f t="shared" si="12"/>
        <v>2500</v>
      </c>
      <c r="Y55" s="29">
        <f t="shared" si="12"/>
        <v>2500</v>
      </c>
      <c r="Z55" s="29">
        <f t="shared" si="12"/>
        <v>2500</v>
      </c>
      <c r="AA55" s="29">
        <f t="shared" si="12"/>
        <v>2500</v>
      </c>
      <c r="AB55" s="29">
        <f t="shared" si="12"/>
        <v>2500</v>
      </c>
      <c r="AC55" s="29">
        <f t="shared" si="12"/>
        <v>2500</v>
      </c>
      <c r="AD55" s="29">
        <f t="shared" si="12"/>
        <v>2500</v>
      </c>
      <c r="AE55" s="29">
        <f t="shared" si="12"/>
        <v>2500</v>
      </c>
      <c r="AF55" s="29">
        <f t="shared" si="12"/>
        <v>2500</v>
      </c>
      <c r="AG55" s="29">
        <f t="shared" si="12"/>
        <v>2500</v>
      </c>
      <c r="AH55" s="29">
        <f t="shared" si="12"/>
        <v>2500</v>
      </c>
      <c r="AI55" s="29">
        <f t="shared" si="12"/>
        <v>2500</v>
      </c>
      <c r="AJ55" s="29">
        <f t="shared" si="12"/>
        <v>2500</v>
      </c>
      <c r="AK55" s="29">
        <f t="shared" si="12"/>
        <v>2500</v>
      </c>
      <c r="AL55" s="29">
        <f t="shared" si="12"/>
        <v>2500</v>
      </c>
      <c r="AM55" s="29">
        <f t="shared" si="12"/>
        <v>2500</v>
      </c>
      <c r="AN55" s="29">
        <f t="shared" si="12"/>
        <v>2500</v>
      </c>
      <c r="AO55" s="29">
        <f t="shared" si="12"/>
        <v>2500</v>
      </c>
      <c r="AP55" s="29">
        <f t="shared" si="12"/>
        <v>2500</v>
      </c>
    </row>
    <row r="56" spans="1:42">
      <c r="A56" s="18" t="s">
        <v>210</v>
      </c>
      <c r="B56" s="83"/>
      <c r="F56" s="18" t="s">
        <v>210</v>
      </c>
      <c r="G56" s="29">
        <f t="shared" ref="G56:AP56" si="13">G13</f>
        <v>10000</v>
      </c>
      <c r="H56" s="29">
        <f t="shared" si="13"/>
        <v>10000</v>
      </c>
      <c r="I56" s="29">
        <f t="shared" si="13"/>
        <v>10000</v>
      </c>
      <c r="J56" s="29">
        <f t="shared" si="13"/>
        <v>10000</v>
      </c>
      <c r="K56" s="29">
        <f t="shared" si="13"/>
        <v>10000</v>
      </c>
      <c r="L56" s="29">
        <f t="shared" si="13"/>
        <v>10000</v>
      </c>
      <c r="M56" s="29">
        <f t="shared" si="13"/>
        <v>15000</v>
      </c>
      <c r="N56" s="29">
        <f t="shared" si="13"/>
        <v>15000</v>
      </c>
      <c r="O56" s="29">
        <f t="shared" si="13"/>
        <v>15000</v>
      </c>
      <c r="P56" s="29">
        <f t="shared" si="13"/>
        <v>15000</v>
      </c>
      <c r="Q56" s="29">
        <f t="shared" si="13"/>
        <v>15000</v>
      </c>
      <c r="R56" s="29">
        <f t="shared" si="13"/>
        <v>15000</v>
      </c>
      <c r="S56" s="29">
        <f t="shared" si="13"/>
        <v>20000</v>
      </c>
      <c r="T56" s="29">
        <f t="shared" si="13"/>
        <v>20000</v>
      </c>
      <c r="U56" s="29">
        <f t="shared" si="13"/>
        <v>20000</v>
      </c>
      <c r="V56" s="29">
        <f t="shared" si="13"/>
        <v>20000</v>
      </c>
      <c r="W56" s="29">
        <f t="shared" si="13"/>
        <v>20000</v>
      </c>
      <c r="X56" s="29">
        <f t="shared" si="13"/>
        <v>20000</v>
      </c>
      <c r="Y56" s="29">
        <f t="shared" si="13"/>
        <v>25000</v>
      </c>
      <c r="Z56" s="29">
        <f t="shared" si="13"/>
        <v>25000</v>
      </c>
      <c r="AA56" s="29">
        <f t="shared" si="13"/>
        <v>25000</v>
      </c>
      <c r="AB56" s="29">
        <f t="shared" si="13"/>
        <v>25000</v>
      </c>
      <c r="AC56" s="29">
        <f t="shared" si="13"/>
        <v>25000</v>
      </c>
      <c r="AD56" s="29">
        <f t="shared" si="13"/>
        <v>25000</v>
      </c>
      <c r="AE56" s="29">
        <f t="shared" si="13"/>
        <v>28000</v>
      </c>
      <c r="AF56" s="29">
        <f t="shared" si="13"/>
        <v>28000</v>
      </c>
      <c r="AG56" s="29">
        <f t="shared" si="13"/>
        <v>28000</v>
      </c>
      <c r="AH56" s="29">
        <f t="shared" si="13"/>
        <v>28000</v>
      </c>
      <c r="AI56" s="29">
        <f t="shared" si="13"/>
        <v>28000</v>
      </c>
      <c r="AJ56" s="29">
        <f t="shared" si="13"/>
        <v>28000</v>
      </c>
      <c r="AK56" s="29">
        <f t="shared" si="13"/>
        <v>30000</v>
      </c>
      <c r="AL56" s="29">
        <f t="shared" si="13"/>
        <v>30000</v>
      </c>
      <c r="AM56" s="29">
        <f t="shared" si="13"/>
        <v>30000</v>
      </c>
      <c r="AN56" s="29">
        <f t="shared" si="13"/>
        <v>30000</v>
      </c>
      <c r="AO56" s="29">
        <f t="shared" si="13"/>
        <v>30000</v>
      </c>
      <c r="AP56" s="29">
        <f t="shared" si="13"/>
        <v>30000</v>
      </c>
    </row>
    <row r="57" spans="1:42" s="17" customFormat="1">
      <c r="A57" s="26" t="s">
        <v>70</v>
      </c>
    </row>
    <row r="59" spans="1:42">
      <c r="B59" s="18" t="s">
        <v>24</v>
      </c>
      <c r="C59" s="18" t="s">
        <v>25</v>
      </c>
      <c r="D59" s="18" t="s">
        <v>26</v>
      </c>
    </row>
    <row r="60" spans="1:42">
      <c r="A60" s="14" t="s">
        <v>309</v>
      </c>
      <c r="B60" s="22">
        <f>SUM(G60:R60)</f>
        <v>180000</v>
      </c>
      <c r="C60" s="22">
        <f>SUM(S60:AD60)</f>
        <v>300000</v>
      </c>
      <c r="D60" s="22">
        <f>SUM(AE60:AP60)</f>
        <v>378000</v>
      </c>
      <c r="F60" s="14" t="s">
        <v>74</v>
      </c>
      <c r="G60" s="22">
        <f t="shared" ref="G60:AP60" si="14">SUM(G55:G56)</f>
        <v>12500</v>
      </c>
      <c r="H60" s="22">
        <f t="shared" si="14"/>
        <v>12500</v>
      </c>
      <c r="I60" s="22">
        <f t="shared" si="14"/>
        <v>12500</v>
      </c>
      <c r="J60" s="22">
        <f t="shared" si="14"/>
        <v>12500</v>
      </c>
      <c r="K60" s="22">
        <f t="shared" si="14"/>
        <v>12500</v>
      </c>
      <c r="L60" s="22">
        <f t="shared" si="14"/>
        <v>12500</v>
      </c>
      <c r="M60" s="22">
        <f t="shared" si="14"/>
        <v>17500</v>
      </c>
      <c r="N60" s="22">
        <f t="shared" si="14"/>
        <v>17500</v>
      </c>
      <c r="O60" s="22">
        <f t="shared" si="14"/>
        <v>17500</v>
      </c>
      <c r="P60" s="22">
        <f t="shared" si="14"/>
        <v>17500</v>
      </c>
      <c r="Q60" s="22">
        <f t="shared" si="14"/>
        <v>17500</v>
      </c>
      <c r="R60" s="22">
        <f t="shared" si="14"/>
        <v>17500</v>
      </c>
      <c r="S60" s="22">
        <f t="shared" si="14"/>
        <v>22500</v>
      </c>
      <c r="T60" s="22">
        <f t="shared" si="14"/>
        <v>22500</v>
      </c>
      <c r="U60" s="22">
        <f t="shared" si="14"/>
        <v>22500</v>
      </c>
      <c r="V60" s="22">
        <f t="shared" si="14"/>
        <v>22500</v>
      </c>
      <c r="W60" s="22">
        <f t="shared" si="14"/>
        <v>22500</v>
      </c>
      <c r="X60" s="22">
        <f t="shared" si="14"/>
        <v>22500</v>
      </c>
      <c r="Y60" s="22">
        <f t="shared" si="14"/>
        <v>27500</v>
      </c>
      <c r="Z60" s="22">
        <f t="shared" si="14"/>
        <v>27500</v>
      </c>
      <c r="AA60" s="22">
        <f t="shared" si="14"/>
        <v>27500</v>
      </c>
      <c r="AB60" s="22">
        <f t="shared" si="14"/>
        <v>27500</v>
      </c>
      <c r="AC60" s="22">
        <f t="shared" si="14"/>
        <v>27500</v>
      </c>
      <c r="AD60" s="22">
        <f t="shared" si="14"/>
        <v>27500</v>
      </c>
      <c r="AE60" s="22">
        <f t="shared" si="14"/>
        <v>30500</v>
      </c>
      <c r="AF60" s="22">
        <f t="shared" si="14"/>
        <v>30500</v>
      </c>
      <c r="AG60" s="22">
        <f t="shared" si="14"/>
        <v>30500</v>
      </c>
      <c r="AH60" s="22">
        <f t="shared" si="14"/>
        <v>30500</v>
      </c>
      <c r="AI60" s="22">
        <f t="shared" si="14"/>
        <v>30500</v>
      </c>
      <c r="AJ60" s="22">
        <f t="shared" si="14"/>
        <v>30500</v>
      </c>
      <c r="AK60" s="22">
        <f t="shared" si="14"/>
        <v>32500</v>
      </c>
      <c r="AL60" s="22">
        <f t="shared" si="14"/>
        <v>32500</v>
      </c>
      <c r="AM60" s="22">
        <f t="shared" si="14"/>
        <v>32500</v>
      </c>
      <c r="AN60" s="22">
        <f t="shared" si="14"/>
        <v>32500</v>
      </c>
      <c r="AO60" s="22">
        <f t="shared" si="14"/>
        <v>32500</v>
      </c>
      <c r="AP60" s="22">
        <f t="shared" si="14"/>
        <v>32500</v>
      </c>
    </row>
    <row r="63" spans="1:42">
      <c r="A63" s="77" t="s">
        <v>310</v>
      </c>
      <c r="B63" s="77"/>
      <c r="C63" s="77"/>
      <c r="D63" s="77"/>
      <c r="E63" s="77"/>
    </row>
    <row r="64" spans="1:42">
      <c r="A64" s="18" t="s">
        <v>76</v>
      </c>
      <c r="B64" s="30">
        <v>600</v>
      </c>
    </row>
    <row r="66" spans="1:42">
      <c r="B66" s="18" t="s">
        <v>24</v>
      </c>
      <c r="C66" s="18" t="s">
        <v>25</v>
      </c>
      <c r="D66" s="18" t="s">
        <v>26</v>
      </c>
    </row>
    <row r="67" spans="1:42">
      <c r="A67" s="14" t="s">
        <v>77</v>
      </c>
      <c r="B67" s="22">
        <f>SUM(G67:R67)</f>
        <v>7200</v>
      </c>
      <c r="C67" s="22">
        <f>SUM(S67:AD67)</f>
        <v>14400</v>
      </c>
      <c r="D67" s="22">
        <f>SUM(AE67:AP67)</f>
        <v>21000</v>
      </c>
      <c r="F67" s="14" t="s">
        <v>77</v>
      </c>
      <c r="G67" s="22">
        <f t="shared" ref="G67:AP67" si="15">G8*$B$64</f>
        <v>600</v>
      </c>
      <c r="H67" s="22">
        <f t="shared" si="15"/>
        <v>600</v>
      </c>
      <c r="I67" s="22">
        <f t="shared" si="15"/>
        <v>600</v>
      </c>
      <c r="J67" s="22">
        <f t="shared" si="15"/>
        <v>600</v>
      </c>
      <c r="K67" s="22">
        <f t="shared" si="15"/>
        <v>600</v>
      </c>
      <c r="L67" s="22">
        <f t="shared" si="15"/>
        <v>600</v>
      </c>
      <c r="M67" s="22">
        <f t="shared" si="15"/>
        <v>600</v>
      </c>
      <c r="N67" s="22">
        <f t="shared" si="15"/>
        <v>600</v>
      </c>
      <c r="O67" s="22">
        <f t="shared" si="15"/>
        <v>600</v>
      </c>
      <c r="P67" s="22">
        <f t="shared" si="15"/>
        <v>600</v>
      </c>
      <c r="Q67" s="22">
        <f t="shared" si="15"/>
        <v>600</v>
      </c>
      <c r="R67" s="22">
        <f t="shared" si="15"/>
        <v>600</v>
      </c>
      <c r="S67" s="22">
        <f t="shared" si="15"/>
        <v>1200</v>
      </c>
      <c r="T67" s="22">
        <f t="shared" si="15"/>
        <v>1200</v>
      </c>
      <c r="U67" s="22">
        <f t="shared" si="15"/>
        <v>1200</v>
      </c>
      <c r="V67" s="22">
        <f t="shared" si="15"/>
        <v>1200</v>
      </c>
      <c r="W67" s="22">
        <f t="shared" si="15"/>
        <v>1200</v>
      </c>
      <c r="X67" s="22">
        <f t="shared" si="15"/>
        <v>1200</v>
      </c>
      <c r="Y67" s="22">
        <f t="shared" si="15"/>
        <v>1200</v>
      </c>
      <c r="Z67" s="22">
        <f t="shared" si="15"/>
        <v>1200</v>
      </c>
      <c r="AA67" s="22">
        <f t="shared" si="15"/>
        <v>1200</v>
      </c>
      <c r="AB67" s="22">
        <f t="shared" si="15"/>
        <v>1200</v>
      </c>
      <c r="AC67" s="22">
        <f t="shared" si="15"/>
        <v>1200</v>
      </c>
      <c r="AD67" s="22">
        <f t="shared" si="15"/>
        <v>1200</v>
      </c>
      <c r="AE67" s="22">
        <f t="shared" si="15"/>
        <v>1200</v>
      </c>
      <c r="AF67" s="22">
        <f t="shared" si="15"/>
        <v>1800</v>
      </c>
      <c r="AG67" s="22">
        <f t="shared" si="15"/>
        <v>1800</v>
      </c>
      <c r="AH67" s="22">
        <f t="shared" si="15"/>
        <v>1800</v>
      </c>
      <c r="AI67" s="22">
        <f t="shared" si="15"/>
        <v>1800</v>
      </c>
      <c r="AJ67" s="22">
        <f t="shared" si="15"/>
        <v>1800</v>
      </c>
      <c r="AK67" s="22">
        <f t="shared" si="15"/>
        <v>1800</v>
      </c>
      <c r="AL67" s="22">
        <f t="shared" si="15"/>
        <v>1800</v>
      </c>
      <c r="AM67" s="22">
        <f t="shared" si="15"/>
        <v>1800</v>
      </c>
      <c r="AN67" s="22">
        <f t="shared" si="15"/>
        <v>1800</v>
      </c>
      <c r="AO67" s="22">
        <f t="shared" si="15"/>
        <v>1800</v>
      </c>
      <c r="AP67" s="22">
        <f t="shared" si="15"/>
        <v>1800</v>
      </c>
    </row>
    <row r="70" spans="1:42">
      <c r="A70" s="77" t="s">
        <v>311</v>
      </c>
      <c r="B70" s="77"/>
      <c r="C70" s="77"/>
      <c r="D70" s="77"/>
      <c r="E70" s="77"/>
    </row>
    <row r="71" spans="1:42">
      <c r="A71" s="18" t="s">
        <v>78</v>
      </c>
      <c r="B71" s="92">
        <v>0.01</v>
      </c>
    </row>
    <row r="72" spans="1:42">
      <c r="A72" s="26" t="s">
        <v>79</v>
      </c>
    </row>
    <row r="73" spans="1:42">
      <c r="B73" s="18" t="s">
        <v>24</v>
      </c>
      <c r="C73" s="18" t="s">
        <v>25</v>
      </c>
      <c r="D73" s="18" t="s">
        <v>26</v>
      </c>
    </row>
    <row r="74" spans="1:42">
      <c r="A74" s="14" t="s">
        <v>312</v>
      </c>
      <c r="B74" s="22">
        <f>SUM(G74:R74)</f>
        <v>5284.2190000000001</v>
      </c>
      <c r="C74" s="22">
        <f>SUM(S74:AD74)</f>
        <v>16735.111000000004</v>
      </c>
      <c r="D74" s="22">
        <f>SUM(AE74:AP74)</f>
        <v>32818.068999999996</v>
      </c>
      <c r="F74" s="14" t="s">
        <v>78</v>
      </c>
      <c r="G74" s="22">
        <f t="shared" ref="G74:AP74" si="16">G11*$B$71</f>
        <v>87.5</v>
      </c>
      <c r="H74" s="22">
        <f t="shared" si="16"/>
        <v>200</v>
      </c>
      <c r="I74" s="22">
        <f t="shared" si="16"/>
        <v>287.5</v>
      </c>
      <c r="J74" s="22">
        <f t="shared" si="16"/>
        <v>405.59650000000005</v>
      </c>
      <c r="K74" s="22">
        <f t="shared" si="16"/>
        <v>420.78699999999998</v>
      </c>
      <c r="L74" s="22">
        <f t="shared" si="16"/>
        <v>435.97750000000002</v>
      </c>
      <c r="M74" s="22">
        <f t="shared" si="16"/>
        <v>451.16800000000006</v>
      </c>
      <c r="N74" s="22">
        <f t="shared" si="16"/>
        <v>528.85850000000005</v>
      </c>
      <c r="O74" s="22">
        <f t="shared" si="16"/>
        <v>544.04899999999998</v>
      </c>
      <c r="P74" s="22">
        <f t="shared" si="16"/>
        <v>621.73950000000002</v>
      </c>
      <c r="Q74" s="22">
        <f t="shared" si="16"/>
        <v>640.92750000000001</v>
      </c>
      <c r="R74" s="22">
        <f t="shared" si="16"/>
        <v>660.1155</v>
      </c>
      <c r="S74" s="22">
        <f t="shared" si="16"/>
        <v>816.8035000000001</v>
      </c>
      <c r="T74" s="22">
        <f t="shared" si="16"/>
        <v>960.99149999999997</v>
      </c>
      <c r="U74" s="22">
        <f t="shared" si="16"/>
        <v>1117.6795</v>
      </c>
      <c r="V74" s="22">
        <f t="shared" si="16"/>
        <v>1265.0655000000002</v>
      </c>
      <c r="W74" s="22">
        <f t="shared" si="16"/>
        <v>1297.0454999999999</v>
      </c>
      <c r="X74" s="22">
        <f t="shared" si="16"/>
        <v>1329.0255</v>
      </c>
      <c r="Y74" s="22">
        <f t="shared" si="16"/>
        <v>1436.0055</v>
      </c>
      <c r="Z74" s="22">
        <f t="shared" si="16"/>
        <v>1530.4855</v>
      </c>
      <c r="AA74" s="22">
        <f t="shared" si="16"/>
        <v>1637.4655</v>
      </c>
      <c r="AB74" s="22">
        <f t="shared" si="16"/>
        <v>1739.9404999999999</v>
      </c>
      <c r="AC74" s="22">
        <f t="shared" si="16"/>
        <v>1781.5145000000002</v>
      </c>
      <c r="AD74" s="22">
        <f t="shared" si="16"/>
        <v>1823.0885000000001</v>
      </c>
      <c r="AE74" s="22">
        <f t="shared" si="16"/>
        <v>2007.759</v>
      </c>
      <c r="AF74" s="22">
        <f t="shared" si="16"/>
        <v>2179.9295000000002</v>
      </c>
      <c r="AG74" s="22">
        <f t="shared" si="16"/>
        <v>2364.6</v>
      </c>
      <c r="AH74" s="22">
        <f t="shared" si="16"/>
        <v>2546.3645000000001</v>
      </c>
      <c r="AI74" s="22">
        <f t="shared" si="16"/>
        <v>2612.723</v>
      </c>
      <c r="AJ74" s="22">
        <f t="shared" si="16"/>
        <v>2679.0815000000002</v>
      </c>
      <c r="AK74" s="22">
        <f t="shared" si="16"/>
        <v>2770.44</v>
      </c>
      <c r="AL74" s="22">
        <f t="shared" si="16"/>
        <v>2924.2984999999999</v>
      </c>
      <c r="AM74" s="22">
        <f t="shared" si="16"/>
        <v>3015.6570000000002</v>
      </c>
      <c r="AN74" s="22">
        <f t="shared" si="16"/>
        <v>3171.1145000000001</v>
      </c>
      <c r="AO74" s="22">
        <f t="shared" si="16"/>
        <v>3239.0720000000001</v>
      </c>
      <c r="AP74" s="22">
        <f t="shared" si="16"/>
        <v>3307.0295000000001</v>
      </c>
    </row>
    <row r="75" spans="1:42">
      <c r="F75" s="17"/>
      <c r="G75" s="117"/>
      <c r="H75" s="117"/>
      <c r="I75" s="117"/>
      <c r="J75" s="117"/>
      <c r="K75" s="117"/>
      <c r="L75" s="117"/>
      <c r="M75" s="117"/>
      <c r="N75" s="117"/>
      <c r="O75" s="117"/>
      <c r="P75" s="117"/>
      <c r="Q75" s="117"/>
      <c r="R75" s="117"/>
      <c r="S75" s="117"/>
      <c r="T75" s="117"/>
      <c r="U75" s="117"/>
      <c r="V75" s="117"/>
      <c r="W75" s="117"/>
      <c r="X75" s="117"/>
      <c r="Y75" s="117"/>
      <c r="Z75" s="117"/>
      <c r="AA75" s="117"/>
      <c r="AB75" s="117"/>
      <c r="AC75" s="117"/>
      <c r="AD75" s="117"/>
      <c r="AE75" s="117"/>
      <c r="AF75" s="117"/>
      <c r="AG75" s="117"/>
      <c r="AH75" s="117"/>
      <c r="AI75" s="117"/>
      <c r="AJ75" s="117"/>
      <c r="AK75" s="117"/>
      <c r="AL75" s="117"/>
      <c r="AM75" s="117"/>
      <c r="AN75" s="117"/>
      <c r="AO75" s="117"/>
      <c r="AP75" s="117"/>
    </row>
    <row r="79" spans="1:42" ht="30" customHeight="1">
      <c r="B79" s="133" t="s">
        <v>259</v>
      </c>
      <c r="C79" s="133"/>
      <c r="D79" s="133"/>
    </row>
    <row r="81" spans="1:11" s="74" customFormat="1"/>
    <row r="82" spans="1:11" s="75" customFormat="1">
      <c r="A82" s="75" t="s">
        <v>197</v>
      </c>
      <c r="B82" s="76">
        <v>1</v>
      </c>
      <c r="C82" s="76">
        <v>2</v>
      </c>
      <c r="D82" s="76">
        <v>3</v>
      </c>
      <c r="E82" s="76">
        <v>4</v>
      </c>
      <c r="F82" s="76">
        <v>5</v>
      </c>
      <c r="G82" s="76">
        <v>6</v>
      </c>
      <c r="H82" s="76">
        <v>7</v>
      </c>
      <c r="I82" s="76">
        <v>8</v>
      </c>
      <c r="J82" s="76">
        <v>9</v>
      </c>
      <c r="K82" s="76"/>
    </row>
    <row r="83" spans="1:11" s="75" customFormat="1">
      <c r="A83" s="75" t="s">
        <v>196</v>
      </c>
      <c r="B83" s="76" t="s">
        <v>195</v>
      </c>
      <c r="C83" s="76" t="s">
        <v>17</v>
      </c>
      <c r="D83" s="76" t="s">
        <v>31</v>
      </c>
      <c r="E83" s="76" t="s">
        <v>49</v>
      </c>
      <c r="F83" s="76" t="s">
        <v>80</v>
      </c>
      <c r="G83" s="76" t="s">
        <v>271</v>
      </c>
      <c r="H83" s="76" t="s">
        <v>272</v>
      </c>
      <c r="I83" s="76" t="s">
        <v>110</v>
      </c>
      <c r="J83" s="76" t="s">
        <v>273</v>
      </c>
      <c r="K83" s="76"/>
    </row>
    <row r="84" spans="1:11" s="75" customFormat="1">
      <c r="A84" s="75" t="s">
        <v>238</v>
      </c>
      <c r="B84" s="85"/>
      <c r="C84" s="85"/>
      <c r="D84" s="85"/>
      <c r="E84" s="85"/>
    </row>
    <row r="85" spans="1:11" s="75" customFormat="1"/>
  </sheetData>
  <mergeCells count="4">
    <mergeCell ref="G1:R1"/>
    <mergeCell ref="S1:AD1"/>
    <mergeCell ref="AE1:AP1"/>
    <mergeCell ref="B79:D79"/>
  </mergeCells>
  <hyperlinks>
    <hyperlink ref="B79:D79" location="CAPEX!A1" display="-&gt; Zur Investitionsplanung" xr:uid="{067CD30A-C188-4107-9D19-5B6E6CE4BE52}"/>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1937C-BA01-4E25-B77F-054101142DE5}">
  <sheetPr>
    <tabColor rgb="FFFFC000"/>
  </sheetPr>
  <dimension ref="A1:BU40"/>
  <sheetViews>
    <sheetView showGridLines="0" workbookViewId="0">
      <pane xSplit="6" ySplit="2" topLeftCell="G3" activePane="bottomRight" state="frozen"/>
      <selection pane="topRight" activeCell="G1" sqref="G1"/>
      <selection pane="bottomLeft" activeCell="A3" sqref="A3"/>
      <selection pane="bottomRight"/>
    </sheetView>
  </sheetViews>
  <sheetFormatPr baseColWidth="10" defaultColWidth="11.5" defaultRowHeight="15"/>
  <cols>
    <col min="1" max="1" width="23.5" style="13" bestFit="1" customWidth="1"/>
    <col min="2" max="4" width="16" style="13" customWidth="1"/>
    <col min="5" max="5" width="12.83203125" style="13" customWidth="1"/>
    <col min="6" max="6" width="27" style="13" customWidth="1"/>
    <col min="7" max="42" width="13" style="13" customWidth="1"/>
    <col min="43" max="16384" width="11.5" style="13"/>
  </cols>
  <sheetData>
    <row r="1" spans="1:73" ht="16">
      <c r="A1" s="12" t="s">
        <v>325</v>
      </c>
      <c r="B1" s="93"/>
      <c r="C1" s="93"/>
      <c r="D1" s="93"/>
      <c r="E1" s="93"/>
      <c r="F1" s="14" t="s">
        <v>18</v>
      </c>
      <c r="G1" s="135" t="s">
        <v>19</v>
      </c>
      <c r="H1" s="136"/>
      <c r="I1" s="136"/>
      <c r="J1" s="136"/>
      <c r="K1" s="136"/>
      <c r="L1" s="136"/>
      <c r="M1" s="136"/>
      <c r="N1" s="136"/>
      <c r="O1" s="136"/>
      <c r="P1" s="136"/>
      <c r="Q1" s="136"/>
      <c r="R1" s="137"/>
      <c r="S1" s="135" t="s">
        <v>20</v>
      </c>
      <c r="T1" s="136"/>
      <c r="U1" s="136"/>
      <c r="V1" s="136"/>
      <c r="W1" s="136"/>
      <c r="X1" s="136"/>
      <c r="Y1" s="136"/>
      <c r="Z1" s="136"/>
      <c r="AA1" s="136"/>
      <c r="AB1" s="136"/>
      <c r="AC1" s="136"/>
      <c r="AD1" s="137"/>
      <c r="AE1" s="135" t="s">
        <v>21</v>
      </c>
      <c r="AF1" s="136"/>
      <c r="AG1" s="136"/>
      <c r="AH1" s="136"/>
      <c r="AI1" s="136"/>
      <c r="AJ1" s="136"/>
      <c r="AK1" s="136"/>
      <c r="AL1" s="136"/>
      <c r="AM1" s="136"/>
      <c r="AN1" s="136"/>
      <c r="AO1" s="136"/>
      <c r="AP1" s="137"/>
    </row>
    <row r="2" spans="1:73">
      <c r="A2" s="93" t="str">
        <f>Cover!C11</f>
        <v>Ellmann Consulting GmbH</v>
      </c>
      <c r="B2" s="93"/>
      <c r="C2" s="93"/>
      <c r="D2" s="93"/>
      <c r="E2" s="93"/>
      <c r="F2" s="14" t="s">
        <v>22</v>
      </c>
      <c r="G2" s="24">
        <f>DATE(YEAR(Cover!C15),MONTH(Cover!C15),DAY(Cover!C15))</f>
        <v>45658</v>
      </c>
      <c r="H2" s="16">
        <f>DATE(YEAR(G2),MONTH(G2)+1,DAY(G2))</f>
        <v>45689</v>
      </c>
      <c r="I2" s="16">
        <f t="shared" ref="I2:AP2" si="0">DATE(YEAR(H2),MONTH(H2)+1,DAY(H2))</f>
        <v>45717</v>
      </c>
      <c r="J2" s="16">
        <f t="shared" si="0"/>
        <v>45748</v>
      </c>
      <c r="K2" s="16">
        <f t="shared" si="0"/>
        <v>45778</v>
      </c>
      <c r="L2" s="16">
        <f t="shared" si="0"/>
        <v>45809</v>
      </c>
      <c r="M2" s="16">
        <f t="shared" si="0"/>
        <v>45839</v>
      </c>
      <c r="N2" s="16">
        <f t="shared" si="0"/>
        <v>45870</v>
      </c>
      <c r="O2" s="16">
        <f t="shared" si="0"/>
        <v>45901</v>
      </c>
      <c r="P2" s="16">
        <f t="shared" si="0"/>
        <v>45931</v>
      </c>
      <c r="Q2" s="16">
        <f t="shared" si="0"/>
        <v>45962</v>
      </c>
      <c r="R2" s="16">
        <f t="shared" si="0"/>
        <v>45992</v>
      </c>
      <c r="S2" s="16">
        <f t="shared" si="0"/>
        <v>46023</v>
      </c>
      <c r="T2" s="16">
        <f t="shared" si="0"/>
        <v>46054</v>
      </c>
      <c r="U2" s="16">
        <f t="shared" si="0"/>
        <v>46082</v>
      </c>
      <c r="V2" s="16">
        <f t="shared" si="0"/>
        <v>46113</v>
      </c>
      <c r="W2" s="16">
        <f t="shared" si="0"/>
        <v>46143</v>
      </c>
      <c r="X2" s="16">
        <f t="shared" si="0"/>
        <v>46174</v>
      </c>
      <c r="Y2" s="16">
        <f t="shared" si="0"/>
        <v>46204</v>
      </c>
      <c r="Z2" s="16">
        <f t="shared" si="0"/>
        <v>46235</v>
      </c>
      <c r="AA2" s="16">
        <f t="shared" si="0"/>
        <v>46266</v>
      </c>
      <c r="AB2" s="16">
        <f t="shared" si="0"/>
        <v>46296</v>
      </c>
      <c r="AC2" s="16">
        <f t="shared" si="0"/>
        <v>46327</v>
      </c>
      <c r="AD2" s="16">
        <f t="shared" si="0"/>
        <v>46357</v>
      </c>
      <c r="AE2" s="16">
        <f t="shared" si="0"/>
        <v>46388</v>
      </c>
      <c r="AF2" s="16">
        <f t="shared" si="0"/>
        <v>46419</v>
      </c>
      <c r="AG2" s="16">
        <f t="shared" si="0"/>
        <v>46447</v>
      </c>
      <c r="AH2" s="16">
        <f t="shared" si="0"/>
        <v>46478</v>
      </c>
      <c r="AI2" s="16">
        <f t="shared" si="0"/>
        <v>46508</v>
      </c>
      <c r="AJ2" s="16">
        <f t="shared" si="0"/>
        <v>46539</v>
      </c>
      <c r="AK2" s="16">
        <f t="shared" si="0"/>
        <v>46569</v>
      </c>
      <c r="AL2" s="16">
        <f t="shared" si="0"/>
        <v>46600</v>
      </c>
      <c r="AM2" s="16">
        <f t="shared" si="0"/>
        <v>46631</v>
      </c>
      <c r="AN2" s="16">
        <f t="shared" si="0"/>
        <v>46661</v>
      </c>
      <c r="AO2" s="16">
        <f t="shared" si="0"/>
        <v>46692</v>
      </c>
      <c r="AP2" s="37">
        <f t="shared" si="0"/>
        <v>46722</v>
      </c>
    </row>
    <row r="4" spans="1:73">
      <c r="A4" s="19" t="s">
        <v>88</v>
      </c>
      <c r="B4" s="19"/>
      <c r="C4" s="20"/>
      <c r="D4" s="20"/>
      <c r="E4" s="20"/>
      <c r="F4" s="17"/>
    </row>
    <row r="5" spans="1:73">
      <c r="A5" s="94"/>
      <c r="B5" s="94"/>
      <c r="C5" s="94"/>
      <c r="D5" s="94"/>
      <c r="E5" s="94"/>
      <c r="F5" s="94"/>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row>
    <row r="6" spans="1:73">
      <c r="A6" s="96"/>
      <c r="B6" s="96"/>
      <c r="C6" s="96"/>
      <c r="D6" s="96"/>
      <c r="E6" s="127" t="s">
        <v>84</v>
      </c>
      <c r="F6" s="96" t="s">
        <v>81</v>
      </c>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95"/>
      <c r="BU6" s="95"/>
    </row>
    <row r="7" spans="1:73">
      <c r="A7" s="94"/>
      <c r="B7" s="94"/>
      <c r="C7" s="94"/>
      <c r="D7" s="94"/>
      <c r="E7" s="87">
        <v>60</v>
      </c>
      <c r="F7" s="34" t="s">
        <v>192</v>
      </c>
      <c r="G7" s="30">
        <v>300000</v>
      </c>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row>
    <row r="8" spans="1:73">
      <c r="A8" s="94"/>
      <c r="B8" s="94"/>
      <c r="C8" s="94"/>
      <c r="D8" s="94"/>
      <c r="E8" s="87">
        <v>1</v>
      </c>
      <c r="F8" s="34" t="s">
        <v>266</v>
      </c>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row>
    <row r="9" spans="1:73">
      <c r="A9" s="94"/>
      <c r="B9" s="94"/>
      <c r="C9" s="94"/>
      <c r="D9" s="94"/>
      <c r="E9" s="87">
        <v>1</v>
      </c>
      <c r="F9" s="34" t="s">
        <v>267</v>
      </c>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row>
    <row r="10" spans="1:73">
      <c r="A10" s="94"/>
      <c r="B10" s="94"/>
      <c r="C10" s="94"/>
      <c r="D10" s="94"/>
      <c r="E10" s="87">
        <v>1</v>
      </c>
      <c r="F10" s="34" t="s">
        <v>268</v>
      </c>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row>
    <row r="11" spans="1:73">
      <c r="A11" s="94"/>
      <c r="B11" s="94"/>
      <c r="C11" s="94"/>
      <c r="D11" s="94"/>
      <c r="E11" s="87">
        <v>1</v>
      </c>
      <c r="F11" s="34" t="s">
        <v>269</v>
      </c>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row>
    <row r="12" spans="1:73">
      <c r="A12" s="97"/>
      <c r="B12" s="97"/>
      <c r="C12" s="97"/>
      <c r="D12" s="97"/>
      <c r="E12" s="97"/>
      <c r="F12" s="98" t="s">
        <v>82</v>
      </c>
      <c r="G12" s="99">
        <f>SUM(G7:G11)</f>
        <v>300000</v>
      </c>
      <c r="H12" s="99">
        <f t="shared" ref="H12:AP12" si="1">SUM(H7:H11)</f>
        <v>0</v>
      </c>
      <c r="I12" s="99">
        <f t="shared" si="1"/>
        <v>0</v>
      </c>
      <c r="J12" s="99">
        <f t="shared" si="1"/>
        <v>0</v>
      </c>
      <c r="K12" s="99">
        <f t="shared" si="1"/>
        <v>0</v>
      </c>
      <c r="L12" s="99">
        <f t="shared" si="1"/>
        <v>0</v>
      </c>
      <c r="M12" s="99">
        <f t="shared" si="1"/>
        <v>0</v>
      </c>
      <c r="N12" s="99">
        <f t="shared" si="1"/>
        <v>0</v>
      </c>
      <c r="O12" s="99">
        <f t="shared" si="1"/>
        <v>0</v>
      </c>
      <c r="P12" s="99">
        <f t="shared" si="1"/>
        <v>0</v>
      </c>
      <c r="Q12" s="99">
        <f t="shared" si="1"/>
        <v>0</v>
      </c>
      <c r="R12" s="99">
        <f t="shared" si="1"/>
        <v>0</v>
      </c>
      <c r="S12" s="99">
        <f t="shared" si="1"/>
        <v>0</v>
      </c>
      <c r="T12" s="99">
        <f t="shared" si="1"/>
        <v>0</v>
      </c>
      <c r="U12" s="99">
        <f t="shared" si="1"/>
        <v>0</v>
      </c>
      <c r="V12" s="99">
        <f t="shared" si="1"/>
        <v>0</v>
      </c>
      <c r="W12" s="99">
        <f t="shared" si="1"/>
        <v>0</v>
      </c>
      <c r="X12" s="99">
        <f t="shared" si="1"/>
        <v>0</v>
      </c>
      <c r="Y12" s="99">
        <f t="shared" si="1"/>
        <v>0</v>
      </c>
      <c r="Z12" s="99">
        <f t="shared" si="1"/>
        <v>0</v>
      </c>
      <c r="AA12" s="99">
        <f t="shared" si="1"/>
        <v>0</v>
      </c>
      <c r="AB12" s="99">
        <f t="shared" si="1"/>
        <v>0</v>
      </c>
      <c r="AC12" s="99">
        <f t="shared" si="1"/>
        <v>0</v>
      </c>
      <c r="AD12" s="99">
        <f t="shared" si="1"/>
        <v>0</v>
      </c>
      <c r="AE12" s="99">
        <f t="shared" si="1"/>
        <v>0</v>
      </c>
      <c r="AF12" s="99">
        <f t="shared" si="1"/>
        <v>0</v>
      </c>
      <c r="AG12" s="99">
        <f t="shared" si="1"/>
        <v>0</v>
      </c>
      <c r="AH12" s="99">
        <f t="shared" si="1"/>
        <v>0</v>
      </c>
      <c r="AI12" s="99">
        <f t="shared" si="1"/>
        <v>0</v>
      </c>
      <c r="AJ12" s="99">
        <f t="shared" si="1"/>
        <v>0</v>
      </c>
      <c r="AK12" s="99">
        <f t="shared" si="1"/>
        <v>0</v>
      </c>
      <c r="AL12" s="99">
        <f t="shared" si="1"/>
        <v>0</v>
      </c>
      <c r="AM12" s="99">
        <f t="shared" si="1"/>
        <v>0</v>
      </c>
      <c r="AN12" s="99">
        <f t="shared" si="1"/>
        <v>0</v>
      </c>
      <c r="AO12" s="99">
        <f t="shared" si="1"/>
        <v>0</v>
      </c>
      <c r="AP12" s="99">
        <f t="shared" si="1"/>
        <v>0</v>
      </c>
    </row>
    <row r="13" spans="1:73">
      <c r="A13" s="94"/>
      <c r="B13" s="94"/>
      <c r="C13" s="94"/>
      <c r="D13" s="94"/>
      <c r="E13" s="101" t="s">
        <v>274</v>
      </c>
      <c r="F13" s="94"/>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row>
    <row r="14" spans="1:73">
      <c r="A14" s="19" t="s">
        <v>83</v>
      </c>
      <c r="B14" s="19"/>
      <c r="C14" s="19"/>
      <c r="D14" s="19"/>
      <c r="E14" s="19"/>
      <c r="F14" s="17"/>
    </row>
    <row r="15" spans="1:73">
      <c r="A15" s="94"/>
      <c r="B15" s="94"/>
      <c r="C15" s="94"/>
      <c r="D15" s="94"/>
      <c r="E15" s="94"/>
      <c r="F15" s="94"/>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row>
    <row r="16" spans="1:73">
      <c r="F16" s="96" t="s">
        <v>85</v>
      </c>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row>
    <row r="17" spans="1:73">
      <c r="F17" s="18" t="str">
        <f>F7</f>
        <v>Software</v>
      </c>
      <c r="G17" s="99">
        <f>SUM($G7:G7)/$E7</f>
        <v>5000</v>
      </c>
      <c r="H17" s="99">
        <f>SUM($G7:H7)/$E7</f>
        <v>5000</v>
      </c>
      <c r="I17" s="99">
        <f>SUM($G7:I7)/$E7</f>
        <v>5000</v>
      </c>
      <c r="J17" s="99">
        <f>SUM($G7:J7)/$E7</f>
        <v>5000</v>
      </c>
      <c r="K17" s="99">
        <f>SUM($G7:K7)/$E7</f>
        <v>5000</v>
      </c>
      <c r="L17" s="99">
        <f>SUM($G7:L7)/$E7</f>
        <v>5000</v>
      </c>
      <c r="M17" s="99">
        <f>SUM($G7:M7)/$E7</f>
        <v>5000</v>
      </c>
      <c r="N17" s="99">
        <f>SUM($G7:N7)/$E7</f>
        <v>5000</v>
      </c>
      <c r="O17" s="99">
        <f>SUM($G7:O7)/$E7</f>
        <v>5000</v>
      </c>
      <c r="P17" s="99">
        <f>SUM($G7:P7)/$E7</f>
        <v>5000</v>
      </c>
      <c r="Q17" s="99">
        <f>SUM($G7:Q7)/$E7</f>
        <v>5000</v>
      </c>
      <c r="R17" s="99">
        <f>SUM($G7:R7)/$E7</f>
        <v>5000</v>
      </c>
      <c r="S17" s="99">
        <f>SUM($G7:S7)/$E7</f>
        <v>5000</v>
      </c>
      <c r="T17" s="99">
        <f>SUM($G7:T7)/$E7</f>
        <v>5000</v>
      </c>
      <c r="U17" s="99">
        <f>SUM($G7:U7)/$E7</f>
        <v>5000</v>
      </c>
      <c r="V17" s="99">
        <f>SUM($G7:V7)/$E7</f>
        <v>5000</v>
      </c>
      <c r="W17" s="99">
        <f>SUM($G7:W7)/$E7</f>
        <v>5000</v>
      </c>
      <c r="X17" s="99">
        <f>SUM($G7:X7)/$E7</f>
        <v>5000</v>
      </c>
      <c r="Y17" s="99">
        <f>SUM($G7:Y7)/$E7</f>
        <v>5000</v>
      </c>
      <c r="Z17" s="99">
        <f>SUM($G7:Z7)/$E7</f>
        <v>5000</v>
      </c>
      <c r="AA17" s="99">
        <f>SUM($G7:AA7)/$E7</f>
        <v>5000</v>
      </c>
      <c r="AB17" s="99">
        <f>SUM($G7:AB7)/$E7</f>
        <v>5000</v>
      </c>
      <c r="AC17" s="99">
        <f>SUM($G7:AC7)/$E7</f>
        <v>5000</v>
      </c>
      <c r="AD17" s="99">
        <f>SUM($G7:AD7)/$E7</f>
        <v>5000</v>
      </c>
      <c r="AE17" s="99">
        <f>SUM($G7:AE7)/$E7</f>
        <v>5000</v>
      </c>
      <c r="AF17" s="99">
        <f>SUM($G7:AF7)/$E7</f>
        <v>5000</v>
      </c>
      <c r="AG17" s="99">
        <f>SUM($G7:AG7)/$E7</f>
        <v>5000</v>
      </c>
      <c r="AH17" s="99">
        <f>SUM($G7:AH7)/$E7</f>
        <v>5000</v>
      </c>
      <c r="AI17" s="99">
        <f>SUM($G7:AI7)/$E7</f>
        <v>5000</v>
      </c>
      <c r="AJ17" s="99">
        <f>SUM($G7:AJ7)/$E7</f>
        <v>5000</v>
      </c>
      <c r="AK17" s="99">
        <f>SUM($G7:AK7)/$E7</f>
        <v>5000</v>
      </c>
      <c r="AL17" s="99">
        <f>SUM($G7:AL7)/$E7</f>
        <v>5000</v>
      </c>
      <c r="AM17" s="99">
        <f>SUM($G7:AM7)/$E7</f>
        <v>5000</v>
      </c>
      <c r="AN17" s="99">
        <f>SUM($G7:AN7)/$E7</f>
        <v>5000</v>
      </c>
      <c r="AO17" s="99">
        <f>SUM($G7:AO7)/$E7</f>
        <v>5000</v>
      </c>
      <c r="AP17" s="99">
        <f>SUM($G7:AP7)/$E7</f>
        <v>5000</v>
      </c>
    </row>
    <row r="18" spans="1:73">
      <c r="F18" s="18" t="str">
        <f t="shared" ref="F18:F21" si="2">F8</f>
        <v>Anlage 2</v>
      </c>
      <c r="G18" s="99">
        <f>SUM($G8:G8)/$E8</f>
        <v>0</v>
      </c>
      <c r="H18" s="99">
        <f>SUM($G8:H8)/$E8</f>
        <v>0</v>
      </c>
      <c r="I18" s="99">
        <f>SUM($G8:I8)/$E8</f>
        <v>0</v>
      </c>
      <c r="J18" s="99">
        <f>SUM($G8:J8)/$E8</f>
        <v>0</v>
      </c>
      <c r="K18" s="99">
        <f>SUM($G8:K8)/$E8</f>
        <v>0</v>
      </c>
      <c r="L18" s="99">
        <f>SUM($G8:L8)/$E8</f>
        <v>0</v>
      </c>
      <c r="M18" s="99">
        <f>SUM($G8:M8)/$E8</f>
        <v>0</v>
      </c>
      <c r="N18" s="99">
        <f>SUM($G8:N8)/$E8</f>
        <v>0</v>
      </c>
      <c r="O18" s="99">
        <f>SUM($G8:O8)/$E8</f>
        <v>0</v>
      </c>
      <c r="P18" s="99">
        <f>SUM($G8:P8)/$E8</f>
        <v>0</v>
      </c>
      <c r="Q18" s="99">
        <f>SUM($G8:Q8)/$E8</f>
        <v>0</v>
      </c>
      <c r="R18" s="99">
        <f>SUM($G8:R8)/$E8</f>
        <v>0</v>
      </c>
      <c r="S18" s="99">
        <f>SUM($G8:S8)/$E8</f>
        <v>0</v>
      </c>
      <c r="T18" s="99">
        <f>SUM($G8:T8)/$E8</f>
        <v>0</v>
      </c>
      <c r="U18" s="99">
        <f>SUM($G8:U8)/$E8</f>
        <v>0</v>
      </c>
      <c r="V18" s="99">
        <f>SUM($G8:V8)/$E8</f>
        <v>0</v>
      </c>
      <c r="W18" s="99">
        <f>SUM($G8:W8)/$E8</f>
        <v>0</v>
      </c>
      <c r="X18" s="99">
        <f>SUM($G8:X8)/$E8</f>
        <v>0</v>
      </c>
      <c r="Y18" s="99">
        <f>SUM($G8:Y8)/$E8</f>
        <v>0</v>
      </c>
      <c r="Z18" s="99">
        <f>SUM($G8:Z8)/$E8</f>
        <v>0</v>
      </c>
      <c r="AA18" s="99">
        <f>SUM($G8:AA8)/$E8</f>
        <v>0</v>
      </c>
      <c r="AB18" s="99">
        <f>SUM($G8:AB8)/$E8</f>
        <v>0</v>
      </c>
      <c r="AC18" s="99">
        <f>SUM($G8:AC8)/$E8</f>
        <v>0</v>
      </c>
      <c r="AD18" s="99">
        <f>SUM($G8:AD8)/$E8</f>
        <v>0</v>
      </c>
      <c r="AE18" s="99">
        <f>SUM($G8:AE8)/$E8</f>
        <v>0</v>
      </c>
      <c r="AF18" s="99">
        <f>SUM($G8:AF8)/$E8</f>
        <v>0</v>
      </c>
      <c r="AG18" s="99">
        <f>SUM($G8:AG8)/$E8</f>
        <v>0</v>
      </c>
      <c r="AH18" s="99">
        <f>SUM($G8:AH8)/$E8</f>
        <v>0</v>
      </c>
      <c r="AI18" s="99">
        <f>SUM($G8:AI8)/$E8</f>
        <v>0</v>
      </c>
      <c r="AJ18" s="99">
        <f>SUM($G8:AJ8)/$E8</f>
        <v>0</v>
      </c>
      <c r="AK18" s="99">
        <f>SUM($G8:AK8)/$E8</f>
        <v>0</v>
      </c>
      <c r="AL18" s="99">
        <f>SUM($G8:AL8)/$E8</f>
        <v>0</v>
      </c>
      <c r="AM18" s="99">
        <f>SUM($G8:AM8)/$E8</f>
        <v>0</v>
      </c>
      <c r="AN18" s="99">
        <f>SUM($G8:AN8)/$E8</f>
        <v>0</v>
      </c>
      <c r="AO18" s="99">
        <f>SUM($G8:AO8)/$E8</f>
        <v>0</v>
      </c>
      <c r="AP18" s="99">
        <f>SUM($G8:AP8)/$E8</f>
        <v>0</v>
      </c>
    </row>
    <row r="19" spans="1:73">
      <c r="F19" s="18" t="str">
        <f t="shared" si="2"/>
        <v>Anlage 3</v>
      </c>
      <c r="G19" s="99">
        <f>SUM($G9:G9)/$E9</f>
        <v>0</v>
      </c>
      <c r="H19" s="99">
        <f>SUM($G9:H9)/$E9</f>
        <v>0</v>
      </c>
      <c r="I19" s="99">
        <f>SUM($G9:I9)/$E9</f>
        <v>0</v>
      </c>
      <c r="J19" s="99">
        <f>SUM($G9:J9)/$E9</f>
        <v>0</v>
      </c>
      <c r="K19" s="99">
        <f>SUM($G9:K9)/$E9</f>
        <v>0</v>
      </c>
      <c r="L19" s="99">
        <f>SUM($G9:L9)/$E9</f>
        <v>0</v>
      </c>
      <c r="M19" s="99">
        <f>SUM($G9:M9)/$E9</f>
        <v>0</v>
      </c>
      <c r="N19" s="99">
        <f>SUM($G9:N9)/$E9</f>
        <v>0</v>
      </c>
      <c r="O19" s="99">
        <f>SUM($G9:O9)/$E9</f>
        <v>0</v>
      </c>
      <c r="P19" s="99">
        <f>SUM($G9:P9)/$E9</f>
        <v>0</v>
      </c>
      <c r="Q19" s="99">
        <f>SUM($G9:Q9)/$E9</f>
        <v>0</v>
      </c>
      <c r="R19" s="99">
        <f>SUM($G9:R9)/$E9</f>
        <v>0</v>
      </c>
      <c r="S19" s="99">
        <f>SUM($G9:S9)/$E9</f>
        <v>0</v>
      </c>
      <c r="T19" s="99">
        <f>SUM($G9:T9)/$E9</f>
        <v>0</v>
      </c>
      <c r="U19" s="99">
        <f>SUM($G9:U9)/$E9</f>
        <v>0</v>
      </c>
      <c r="V19" s="99">
        <f>SUM($G9:V9)/$E9</f>
        <v>0</v>
      </c>
      <c r="W19" s="99">
        <f>SUM($G9:W9)/$E9</f>
        <v>0</v>
      </c>
      <c r="X19" s="99">
        <f>SUM($G9:X9)/$E9</f>
        <v>0</v>
      </c>
      <c r="Y19" s="99">
        <f>SUM($G9:Y9)/$E9</f>
        <v>0</v>
      </c>
      <c r="Z19" s="99">
        <f>SUM($G9:Z9)/$E9</f>
        <v>0</v>
      </c>
      <c r="AA19" s="99">
        <f>SUM($G9:AA9)/$E9</f>
        <v>0</v>
      </c>
      <c r="AB19" s="99">
        <f>SUM($G9:AB9)/$E9</f>
        <v>0</v>
      </c>
      <c r="AC19" s="99">
        <f>SUM($G9:AC9)/$E9</f>
        <v>0</v>
      </c>
      <c r="AD19" s="99">
        <f>SUM($G9:AD9)/$E9</f>
        <v>0</v>
      </c>
      <c r="AE19" s="99">
        <f>SUM($G9:AE9)/$E9</f>
        <v>0</v>
      </c>
      <c r="AF19" s="99">
        <f>SUM($G9:AF9)/$E9</f>
        <v>0</v>
      </c>
      <c r="AG19" s="99">
        <f>SUM($G9:AG9)/$E9</f>
        <v>0</v>
      </c>
      <c r="AH19" s="99">
        <f>SUM($G9:AH9)/$E9</f>
        <v>0</v>
      </c>
      <c r="AI19" s="99">
        <f>SUM($G9:AI9)/$E9</f>
        <v>0</v>
      </c>
      <c r="AJ19" s="99">
        <f>SUM($G9:AJ9)/$E9</f>
        <v>0</v>
      </c>
      <c r="AK19" s="99">
        <f>SUM($G9:AK9)/$E9</f>
        <v>0</v>
      </c>
      <c r="AL19" s="99">
        <f>SUM($G9:AL9)/$E9</f>
        <v>0</v>
      </c>
      <c r="AM19" s="99">
        <f>SUM($G9:AM9)/$E9</f>
        <v>0</v>
      </c>
      <c r="AN19" s="99">
        <f>SUM($G9:AN9)/$E9</f>
        <v>0</v>
      </c>
      <c r="AO19" s="99">
        <f>SUM($G9:AO9)/$E9</f>
        <v>0</v>
      </c>
      <c r="AP19" s="99">
        <f>SUM($G9:AP9)/$E9</f>
        <v>0</v>
      </c>
    </row>
    <row r="20" spans="1:73">
      <c r="F20" s="18" t="str">
        <f t="shared" si="2"/>
        <v>Anlage 4</v>
      </c>
      <c r="G20" s="99">
        <f>SUM($G10:G10)/$E10</f>
        <v>0</v>
      </c>
      <c r="H20" s="99">
        <f>SUM($G10:H10)/$E10</f>
        <v>0</v>
      </c>
      <c r="I20" s="99">
        <f>SUM($G10:I10)/$E10</f>
        <v>0</v>
      </c>
      <c r="J20" s="99">
        <f>SUM($G10:J10)/$E10</f>
        <v>0</v>
      </c>
      <c r="K20" s="99">
        <f>SUM($G10:K10)/$E10</f>
        <v>0</v>
      </c>
      <c r="L20" s="99">
        <f>SUM($G10:L10)/$E10</f>
        <v>0</v>
      </c>
      <c r="M20" s="99">
        <f>SUM($G10:M10)/$E10</f>
        <v>0</v>
      </c>
      <c r="N20" s="99">
        <f>SUM($G10:N10)/$E10</f>
        <v>0</v>
      </c>
      <c r="O20" s="99">
        <f>SUM($G10:O10)/$E10</f>
        <v>0</v>
      </c>
      <c r="P20" s="99">
        <f>SUM($G10:P10)/$E10</f>
        <v>0</v>
      </c>
      <c r="Q20" s="99">
        <f>SUM($G10:Q10)/$E10</f>
        <v>0</v>
      </c>
      <c r="R20" s="99">
        <f>SUM($G10:R10)/$E10</f>
        <v>0</v>
      </c>
      <c r="S20" s="99">
        <f>SUM($G10:S10)/$E10</f>
        <v>0</v>
      </c>
      <c r="T20" s="99">
        <f>SUM($G10:T10)/$E10</f>
        <v>0</v>
      </c>
      <c r="U20" s="99">
        <f>SUM($G10:U10)/$E10</f>
        <v>0</v>
      </c>
      <c r="V20" s="99">
        <f>SUM($G10:V10)/$E10</f>
        <v>0</v>
      </c>
      <c r="W20" s="99">
        <f>SUM($G10:W10)/$E10</f>
        <v>0</v>
      </c>
      <c r="X20" s="99">
        <f>SUM($G10:X10)/$E10</f>
        <v>0</v>
      </c>
      <c r="Y20" s="99">
        <f>SUM($G10:Y10)/$E10</f>
        <v>0</v>
      </c>
      <c r="Z20" s="99">
        <f>SUM($G10:Z10)/$E10</f>
        <v>0</v>
      </c>
      <c r="AA20" s="99">
        <f>SUM($G10:AA10)/$E10</f>
        <v>0</v>
      </c>
      <c r="AB20" s="99">
        <f>SUM($G10:AB10)/$E10</f>
        <v>0</v>
      </c>
      <c r="AC20" s="99">
        <f>SUM($G10:AC10)/$E10</f>
        <v>0</v>
      </c>
      <c r="AD20" s="99">
        <f>SUM($G10:AD10)/$E10</f>
        <v>0</v>
      </c>
      <c r="AE20" s="99">
        <f>SUM($G10:AE10)/$E10</f>
        <v>0</v>
      </c>
      <c r="AF20" s="99">
        <f>SUM($G10:AF10)/$E10</f>
        <v>0</v>
      </c>
      <c r="AG20" s="99">
        <f>SUM($G10:AG10)/$E10</f>
        <v>0</v>
      </c>
      <c r="AH20" s="99">
        <f>SUM($G10:AH10)/$E10</f>
        <v>0</v>
      </c>
      <c r="AI20" s="99">
        <f>SUM($G10:AI10)/$E10</f>
        <v>0</v>
      </c>
      <c r="AJ20" s="99">
        <f>SUM($G10:AJ10)/$E10</f>
        <v>0</v>
      </c>
      <c r="AK20" s="99">
        <f>SUM($G10:AK10)/$E10</f>
        <v>0</v>
      </c>
      <c r="AL20" s="99">
        <f>SUM($G10:AL10)/$E10</f>
        <v>0</v>
      </c>
      <c r="AM20" s="99">
        <f>SUM($G10:AM10)/$E10</f>
        <v>0</v>
      </c>
      <c r="AN20" s="99">
        <f>SUM($G10:AN10)/$E10</f>
        <v>0</v>
      </c>
      <c r="AO20" s="99">
        <f>SUM($G10:AO10)/$E10</f>
        <v>0</v>
      </c>
      <c r="AP20" s="99">
        <f>SUM($G10:AP10)/$E10</f>
        <v>0</v>
      </c>
    </row>
    <row r="21" spans="1:73">
      <c r="B21" s="18" t="s">
        <v>24</v>
      </c>
      <c r="C21" s="18" t="s">
        <v>25</v>
      </c>
      <c r="D21" s="18" t="s">
        <v>26</v>
      </c>
      <c r="F21" s="18" t="str">
        <f t="shared" si="2"/>
        <v>Anlage 5</v>
      </c>
      <c r="G21" s="99">
        <f>SUM($G11:G11)/$E11</f>
        <v>0</v>
      </c>
      <c r="H21" s="99">
        <f>SUM($G11:H11)/$E11</f>
        <v>0</v>
      </c>
      <c r="I21" s="99">
        <f>SUM($G11:I11)/$E11</f>
        <v>0</v>
      </c>
      <c r="J21" s="99">
        <f>SUM($G11:J11)/$E11</f>
        <v>0</v>
      </c>
      <c r="K21" s="99">
        <f>SUM($G11:K11)/$E11</f>
        <v>0</v>
      </c>
      <c r="L21" s="99">
        <f>SUM($G11:L11)/$E11</f>
        <v>0</v>
      </c>
      <c r="M21" s="99">
        <f>SUM($G11:M11)/$E11</f>
        <v>0</v>
      </c>
      <c r="N21" s="99">
        <f>SUM($G11:N11)/$E11</f>
        <v>0</v>
      </c>
      <c r="O21" s="99">
        <f>SUM($G11:O11)/$E11</f>
        <v>0</v>
      </c>
      <c r="P21" s="99">
        <f>SUM($G11:P11)/$E11</f>
        <v>0</v>
      </c>
      <c r="Q21" s="99">
        <f>SUM($G11:Q11)/$E11</f>
        <v>0</v>
      </c>
      <c r="R21" s="99">
        <f>SUM($G11:R11)/$E11</f>
        <v>0</v>
      </c>
      <c r="S21" s="99">
        <f>SUM($G11:S11)/$E11</f>
        <v>0</v>
      </c>
      <c r="T21" s="99">
        <f>SUM($G11:T11)/$E11</f>
        <v>0</v>
      </c>
      <c r="U21" s="99">
        <f>SUM($G11:U11)/$E11</f>
        <v>0</v>
      </c>
      <c r="V21" s="99">
        <f>SUM($G11:V11)/$E11</f>
        <v>0</v>
      </c>
      <c r="W21" s="99">
        <f>SUM($G11:W11)/$E11</f>
        <v>0</v>
      </c>
      <c r="X21" s="99">
        <f>SUM($G11:X11)/$E11</f>
        <v>0</v>
      </c>
      <c r="Y21" s="99">
        <f>SUM($G11:Y11)/$E11</f>
        <v>0</v>
      </c>
      <c r="Z21" s="99">
        <f>SUM($G11:Z11)/$E11</f>
        <v>0</v>
      </c>
      <c r="AA21" s="99">
        <f>SUM($G11:AA11)/$E11</f>
        <v>0</v>
      </c>
      <c r="AB21" s="99">
        <f>SUM($G11:AB11)/$E11</f>
        <v>0</v>
      </c>
      <c r="AC21" s="99">
        <f>SUM($G11:AC11)/$E11</f>
        <v>0</v>
      </c>
      <c r="AD21" s="99">
        <f>SUM($G11:AD11)/$E11</f>
        <v>0</v>
      </c>
      <c r="AE21" s="99">
        <f>SUM($G11:AE11)/$E11</f>
        <v>0</v>
      </c>
      <c r="AF21" s="99">
        <f>SUM($G11:AF11)/$E11</f>
        <v>0</v>
      </c>
      <c r="AG21" s="99">
        <f>SUM($G11:AG11)/$E11</f>
        <v>0</v>
      </c>
      <c r="AH21" s="99">
        <f>SUM($G11:AH11)/$E11</f>
        <v>0</v>
      </c>
      <c r="AI21" s="99">
        <f>SUM($G11:AI11)/$E11</f>
        <v>0</v>
      </c>
      <c r="AJ21" s="99">
        <f>SUM($G11:AJ11)/$E11</f>
        <v>0</v>
      </c>
      <c r="AK21" s="99">
        <f>SUM($G11:AK11)/$E11</f>
        <v>0</v>
      </c>
      <c r="AL21" s="99">
        <f>SUM($G11:AL11)/$E11</f>
        <v>0</v>
      </c>
      <c r="AM21" s="99">
        <f>SUM($G11:AM11)/$E11</f>
        <v>0</v>
      </c>
      <c r="AN21" s="99">
        <f>SUM($G11:AN11)/$E11</f>
        <v>0</v>
      </c>
      <c r="AO21" s="99">
        <f>SUM($G11:AO11)/$E11</f>
        <v>0</v>
      </c>
      <c r="AP21" s="99">
        <f>SUM($G11:AP11)/$E11</f>
        <v>0</v>
      </c>
    </row>
    <row r="22" spans="1:73">
      <c r="A22" s="14" t="s">
        <v>313</v>
      </c>
      <c r="B22" s="22">
        <f>SUM(G22:R22)</f>
        <v>60000</v>
      </c>
      <c r="C22" s="22">
        <f>SUM(S22:AD22)</f>
        <v>60000</v>
      </c>
      <c r="D22" s="22">
        <f>SUM(AE22:AP22)</f>
        <v>60000</v>
      </c>
      <c r="F22" s="98" t="s">
        <v>86</v>
      </c>
      <c r="G22" s="99">
        <f>SUM(G17:G21)</f>
        <v>5000</v>
      </c>
      <c r="H22" s="99">
        <f t="shared" ref="H22:AP22" si="3">SUM(H17:H21)</f>
        <v>5000</v>
      </c>
      <c r="I22" s="99">
        <f t="shared" si="3"/>
        <v>5000</v>
      </c>
      <c r="J22" s="99">
        <f t="shared" si="3"/>
        <v>5000</v>
      </c>
      <c r="K22" s="99">
        <f t="shared" si="3"/>
        <v>5000</v>
      </c>
      <c r="L22" s="99">
        <f t="shared" si="3"/>
        <v>5000</v>
      </c>
      <c r="M22" s="99">
        <f t="shared" si="3"/>
        <v>5000</v>
      </c>
      <c r="N22" s="99">
        <f t="shared" si="3"/>
        <v>5000</v>
      </c>
      <c r="O22" s="99">
        <f t="shared" si="3"/>
        <v>5000</v>
      </c>
      <c r="P22" s="99">
        <f t="shared" si="3"/>
        <v>5000</v>
      </c>
      <c r="Q22" s="99">
        <f t="shared" si="3"/>
        <v>5000</v>
      </c>
      <c r="R22" s="99">
        <f t="shared" si="3"/>
        <v>5000</v>
      </c>
      <c r="S22" s="99">
        <f t="shared" si="3"/>
        <v>5000</v>
      </c>
      <c r="T22" s="99">
        <f t="shared" si="3"/>
        <v>5000</v>
      </c>
      <c r="U22" s="99">
        <f t="shared" si="3"/>
        <v>5000</v>
      </c>
      <c r="V22" s="99">
        <f t="shared" si="3"/>
        <v>5000</v>
      </c>
      <c r="W22" s="99">
        <f t="shared" si="3"/>
        <v>5000</v>
      </c>
      <c r="X22" s="99">
        <f t="shared" si="3"/>
        <v>5000</v>
      </c>
      <c r="Y22" s="99">
        <f t="shared" si="3"/>
        <v>5000</v>
      </c>
      <c r="Z22" s="99">
        <f t="shared" si="3"/>
        <v>5000</v>
      </c>
      <c r="AA22" s="99">
        <f t="shared" si="3"/>
        <v>5000</v>
      </c>
      <c r="AB22" s="99">
        <f t="shared" si="3"/>
        <v>5000</v>
      </c>
      <c r="AC22" s="99">
        <f t="shared" si="3"/>
        <v>5000</v>
      </c>
      <c r="AD22" s="99">
        <f t="shared" si="3"/>
        <v>5000</v>
      </c>
      <c r="AE22" s="99">
        <f t="shared" si="3"/>
        <v>5000</v>
      </c>
      <c r="AF22" s="99">
        <f t="shared" si="3"/>
        <v>5000</v>
      </c>
      <c r="AG22" s="99">
        <f t="shared" si="3"/>
        <v>5000</v>
      </c>
      <c r="AH22" s="99">
        <f t="shared" si="3"/>
        <v>5000</v>
      </c>
      <c r="AI22" s="99">
        <f t="shared" si="3"/>
        <v>5000</v>
      </c>
      <c r="AJ22" s="99">
        <f t="shared" si="3"/>
        <v>5000</v>
      </c>
      <c r="AK22" s="99">
        <f t="shared" si="3"/>
        <v>5000</v>
      </c>
      <c r="AL22" s="99">
        <f t="shared" si="3"/>
        <v>5000</v>
      </c>
      <c r="AM22" s="99">
        <f t="shared" si="3"/>
        <v>5000</v>
      </c>
      <c r="AN22" s="99">
        <f t="shared" si="3"/>
        <v>5000</v>
      </c>
      <c r="AO22" s="99">
        <f t="shared" si="3"/>
        <v>5000</v>
      </c>
      <c r="AP22" s="99">
        <f t="shared" si="3"/>
        <v>5000</v>
      </c>
    </row>
    <row r="23" spans="1:73">
      <c r="F23" s="101" t="s">
        <v>275</v>
      </c>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row>
    <row r="24" spans="1:73">
      <c r="B24" s="101"/>
      <c r="C24" s="101"/>
      <c r="D24" s="101"/>
      <c r="F24" s="97"/>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row>
    <row r="25" spans="1:73">
      <c r="A25" s="100"/>
      <c r="B25" s="100"/>
      <c r="C25" s="100"/>
      <c r="D25" s="100"/>
      <c r="E25" s="100"/>
      <c r="F25" s="97"/>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row>
    <row r="26" spans="1:73">
      <c r="A26" s="19" t="s">
        <v>87</v>
      </c>
      <c r="B26" s="19"/>
      <c r="C26" s="19"/>
      <c r="D26" s="19"/>
      <c r="E26" s="19"/>
      <c r="F26" s="17"/>
    </row>
    <row r="27" spans="1:73">
      <c r="A27" s="97"/>
      <c r="B27" s="97"/>
      <c r="C27" s="97"/>
      <c r="D27" s="97"/>
      <c r="E27" s="97"/>
      <c r="F27" s="97"/>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row>
    <row r="28" spans="1:73">
      <c r="A28" s="94"/>
      <c r="B28" s="94"/>
      <c r="C28" s="94"/>
      <c r="D28" s="94"/>
      <c r="E28" s="94"/>
      <c r="F28" s="88" t="s">
        <v>88</v>
      </c>
      <c r="G28" s="99">
        <f>G12</f>
        <v>300000</v>
      </c>
      <c r="H28" s="99">
        <f>H12</f>
        <v>0</v>
      </c>
      <c r="I28" s="99">
        <f t="shared" ref="I28:AP28" si="4">I12</f>
        <v>0</v>
      </c>
      <c r="J28" s="99">
        <f t="shared" si="4"/>
        <v>0</v>
      </c>
      <c r="K28" s="99">
        <f t="shared" si="4"/>
        <v>0</v>
      </c>
      <c r="L28" s="99">
        <f t="shared" si="4"/>
        <v>0</v>
      </c>
      <c r="M28" s="99">
        <f t="shared" si="4"/>
        <v>0</v>
      </c>
      <c r="N28" s="99">
        <f t="shared" si="4"/>
        <v>0</v>
      </c>
      <c r="O28" s="99">
        <f t="shared" si="4"/>
        <v>0</v>
      </c>
      <c r="P28" s="99">
        <f t="shared" si="4"/>
        <v>0</v>
      </c>
      <c r="Q28" s="99">
        <f t="shared" si="4"/>
        <v>0</v>
      </c>
      <c r="R28" s="99">
        <f t="shared" si="4"/>
        <v>0</v>
      </c>
      <c r="S28" s="99">
        <f t="shared" si="4"/>
        <v>0</v>
      </c>
      <c r="T28" s="99">
        <f t="shared" si="4"/>
        <v>0</v>
      </c>
      <c r="U28" s="99">
        <f t="shared" si="4"/>
        <v>0</v>
      </c>
      <c r="V28" s="99">
        <f t="shared" si="4"/>
        <v>0</v>
      </c>
      <c r="W28" s="99">
        <f t="shared" si="4"/>
        <v>0</v>
      </c>
      <c r="X28" s="99">
        <f t="shared" si="4"/>
        <v>0</v>
      </c>
      <c r="Y28" s="99">
        <f t="shared" si="4"/>
        <v>0</v>
      </c>
      <c r="Z28" s="99">
        <f t="shared" si="4"/>
        <v>0</v>
      </c>
      <c r="AA28" s="99">
        <f t="shared" si="4"/>
        <v>0</v>
      </c>
      <c r="AB28" s="99">
        <f t="shared" si="4"/>
        <v>0</v>
      </c>
      <c r="AC28" s="99">
        <f t="shared" si="4"/>
        <v>0</v>
      </c>
      <c r="AD28" s="99">
        <f t="shared" si="4"/>
        <v>0</v>
      </c>
      <c r="AE28" s="99">
        <f t="shared" si="4"/>
        <v>0</v>
      </c>
      <c r="AF28" s="99">
        <f t="shared" si="4"/>
        <v>0</v>
      </c>
      <c r="AG28" s="99">
        <f t="shared" si="4"/>
        <v>0</v>
      </c>
      <c r="AH28" s="99">
        <f t="shared" si="4"/>
        <v>0</v>
      </c>
      <c r="AI28" s="99">
        <f t="shared" si="4"/>
        <v>0</v>
      </c>
      <c r="AJ28" s="99">
        <f t="shared" si="4"/>
        <v>0</v>
      </c>
      <c r="AK28" s="99">
        <f t="shared" si="4"/>
        <v>0</v>
      </c>
      <c r="AL28" s="99">
        <f t="shared" si="4"/>
        <v>0</v>
      </c>
      <c r="AM28" s="99">
        <f t="shared" si="4"/>
        <v>0</v>
      </c>
      <c r="AN28" s="99">
        <f t="shared" si="4"/>
        <v>0</v>
      </c>
      <c r="AO28" s="99">
        <f t="shared" si="4"/>
        <v>0</v>
      </c>
      <c r="AP28" s="99">
        <f t="shared" si="4"/>
        <v>0</v>
      </c>
    </row>
    <row r="29" spans="1:73">
      <c r="A29" s="94"/>
      <c r="B29" s="94"/>
      <c r="C29" s="94"/>
      <c r="D29" s="94"/>
      <c r="E29" s="94"/>
      <c r="F29" s="88" t="s">
        <v>83</v>
      </c>
      <c r="G29" s="99">
        <f>G22</f>
        <v>5000</v>
      </c>
      <c r="H29" s="99">
        <f t="shared" ref="H29:AP29" si="5">H22</f>
        <v>5000</v>
      </c>
      <c r="I29" s="99">
        <f t="shared" si="5"/>
        <v>5000</v>
      </c>
      <c r="J29" s="99">
        <f t="shared" si="5"/>
        <v>5000</v>
      </c>
      <c r="K29" s="99">
        <f t="shared" si="5"/>
        <v>5000</v>
      </c>
      <c r="L29" s="99">
        <f t="shared" si="5"/>
        <v>5000</v>
      </c>
      <c r="M29" s="99">
        <f t="shared" si="5"/>
        <v>5000</v>
      </c>
      <c r="N29" s="99">
        <f t="shared" si="5"/>
        <v>5000</v>
      </c>
      <c r="O29" s="99">
        <f t="shared" si="5"/>
        <v>5000</v>
      </c>
      <c r="P29" s="99">
        <f t="shared" si="5"/>
        <v>5000</v>
      </c>
      <c r="Q29" s="99">
        <f t="shared" si="5"/>
        <v>5000</v>
      </c>
      <c r="R29" s="99">
        <f t="shared" si="5"/>
        <v>5000</v>
      </c>
      <c r="S29" s="99">
        <f t="shared" si="5"/>
        <v>5000</v>
      </c>
      <c r="T29" s="99">
        <f t="shared" si="5"/>
        <v>5000</v>
      </c>
      <c r="U29" s="99">
        <f t="shared" si="5"/>
        <v>5000</v>
      </c>
      <c r="V29" s="99">
        <f t="shared" si="5"/>
        <v>5000</v>
      </c>
      <c r="W29" s="99">
        <f t="shared" si="5"/>
        <v>5000</v>
      </c>
      <c r="X29" s="99">
        <f t="shared" si="5"/>
        <v>5000</v>
      </c>
      <c r="Y29" s="99">
        <f t="shared" si="5"/>
        <v>5000</v>
      </c>
      <c r="Z29" s="99">
        <f t="shared" si="5"/>
        <v>5000</v>
      </c>
      <c r="AA29" s="99">
        <f t="shared" si="5"/>
        <v>5000</v>
      </c>
      <c r="AB29" s="99">
        <f t="shared" si="5"/>
        <v>5000</v>
      </c>
      <c r="AC29" s="99">
        <f t="shared" si="5"/>
        <v>5000</v>
      </c>
      <c r="AD29" s="99">
        <f t="shared" si="5"/>
        <v>5000</v>
      </c>
      <c r="AE29" s="99">
        <f t="shared" si="5"/>
        <v>5000</v>
      </c>
      <c r="AF29" s="99">
        <f t="shared" si="5"/>
        <v>5000</v>
      </c>
      <c r="AG29" s="99">
        <f t="shared" si="5"/>
        <v>5000</v>
      </c>
      <c r="AH29" s="99">
        <f t="shared" si="5"/>
        <v>5000</v>
      </c>
      <c r="AI29" s="99">
        <f t="shared" si="5"/>
        <v>5000</v>
      </c>
      <c r="AJ29" s="99">
        <f t="shared" si="5"/>
        <v>5000</v>
      </c>
      <c r="AK29" s="99">
        <f t="shared" si="5"/>
        <v>5000</v>
      </c>
      <c r="AL29" s="99">
        <f t="shared" si="5"/>
        <v>5000</v>
      </c>
      <c r="AM29" s="99">
        <f t="shared" si="5"/>
        <v>5000</v>
      </c>
      <c r="AN29" s="99">
        <f t="shared" si="5"/>
        <v>5000</v>
      </c>
      <c r="AO29" s="99">
        <f t="shared" si="5"/>
        <v>5000</v>
      </c>
      <c r="AP29" s="99">
        <f t="shared" si="5"/>
        <v>5000</v>
      </c>
    </row>
    <row r="30" spans="1:73">
      <c r="A30" s="94"/>
      <c r="B30" s="94"/>
      <c r="C30" s="94"/>
      <c r="D30" s="94"/>
      <c r="E30" s="94"/>
      <c r="F30" s="88" t="s">
        <v>89</v>
      </c>
      <c r="G30" s="99">
        <f>G28-G29</f>
        <v>295000</v>
      </c>
      <c r="H30" s="99">
        <f t="shared" ref="H30:AP30" si="6">G30+H28-H29</f>
        <v>290000</v>
      </c>
      <c r="I30" s="99">
        <f t="shared" si="6"/>
        <v>285000</v>
      </c>
      <c r="J30" s="99">
        <f t="shared" si="6"/>
        <v>280000</v>
      </c>
      <c r="K30" s="99">
        <f t="shared" si="6"/>
        <v>275000</v>
      </c>
      <c r="L30" s="99">
        <f t="shared" si="6"/>
        <v>270000</v>
      </c>
      <c r="M30" s="99">
        <f t="shared" si="6"/>
        <v>265000</v>
      </c>
      <c r="N30" s="99">
        <f t="shared" si="6"/>
        <v>260000</v>
      </c>
      <c r="O30" s="99">
        <f t="shared" si="6"/>
        <v>255000</v>
      </c>
      <c r="P30" s="99">
        <f t="shared" si="6"/>
        <v>250000</v>
      </c>
      <c r="Q30" s="99">
        <f t="shared" si="6"/>
        <v>245000</v>
      </c>
      <c r="R30" s="99">
        <f t="shared" si="6"/>
        <v>240000</v>
      </c>
      <c r="S30" s="99">
        <f t="shared" si="6"/>
        <v>235000</v>
      </c>
      <c r="T30" s="99">
        <f t="shared" si="6"/>
        <v>230000</v>
      </c>
      <c r="U30" s="99">
        <f t="shared" si="6"/>
        <v>225000</v>
      </c>
      <c r="V30" s="99">
        <f t="shared" si="6"/>
        <v>220000</v>
      </c>
      <c r="W30" s="99">
        <f t="shared" si="6"/>
        <v>215000</v>
      </c>
      <c r="X30" s="99">
        <f t="shared" si="6"/>
        <v>210000</v>
      </c>
      <c r="Y30" s="99">
        <f t="shared" si="6"/>
        <v>205000</v>
      </c>
      <c r="Z30" s="99">
        <f t="shared" si="6"/>
        <v>200000</v>
      </c>
      <c r="AA30" s="99">
        <f t="shared" si="6"/>
        <v>195000</v>
      </c>
      <c r="AB30" s="99">
        <f t="shared" si="6"/>
        <v>190000</v>
      </c>
      <c r="AC30" s="99">
        <f t="shared" si="6"/>
        <v>185000</v>
      </c>
      <c r="AD30" s="99">
        <f t="shared" si="6"/>
        <v>180000</v>
      </c>
      <c r="AE30" s="99">
        <f t="shared" si="6"/>
        <v>175000</v>
      </c>
      <c r="AF30" s="99">
        <f t="shared" si="6"/>
        <v>170000</v>
      </c>
      <c r="AG30" s="99">
        <f t="shared" si="6"/>
        <v>165000</v>
      </c>
      <c r="AH30" s="99">
        <f t="shared" si="6"/>
        <v>160000</v>
      </c>
      <c r="AI30" s="99">
        <f t="shared" si="6"/>
        <v>155000</v>
      </c>
      <c r="AJ30" s="99">
        <f t="shared" si="6"/>
        <v>150000</v>
      </c>
      <c r="AK30" s="99">
        <f t="shared" si="6"/>
        <v>145000</v>
      </c>
      <c r="AL30" s="99">
        <f t="shared" si="6"/>
        <v>140000</v>
      </c>
      <c r="AM30" s="99">
        <f t="shared" si="6"/>
        <v>135000</v>
      </c>
      <c r="AN30" s="99">
        <f t="shared" si="6"/>
        <v>130000</v>
      </c>
      <c r="AO30" s="99">
        <f t="shared" si="6"/>
        <v>125000</v>
      </c>
      <c r="AP30" s="99">
        <f t="shared" si="6"/>
        <v>120000</v>
      </c>
    </row>
    <row r="31" spans="1:73">
      <c r="A31" s="94"/>
      <c r="B31" s="94"/>
      <c r="C31" s="94"/>
      <c r="D31" s="94"/>
      <c r="E31" s="94"/>
      <c r="F31" s="94"/>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c r="BP31" s="95"/>
      <c r="BQ31" s="95"/>
      <c r="BR31" s="95"/>
      <c r="BS31" s="95"/>
      <c r="BT31" s="95"/>
      <c r="BU31" s="95"/>
    </row>
    <row r="34" spans="1:11" ht="30" customHeight="1">
      <c r="B34" s="133" t="s">
        <v>277</v>
      </c>
      <c r="C34" s="133"/>
      <c r="D34" s="133"/>
    </row>
    <row r="36" spans="1:11" s="74" customFormat="1"/>
    <row r="37" spans="1:11" s="75" customFormat="1">
      <c r="A37" s="75" t="s">
        <v>197</v>
      </c>
      <c r="B37" s="76">
        <v>1</v>
      </c>
      <c r="C37" s="76">
        <v>2</v>
      </c>
      <c r="D37" s="76">
        <v>3</v>
      </c>
      <c r="E37" s="76">
        <v>4</v>
      </c>
      <c r="F37" s="76">
        <v>5</v>
      </c>
      <c r="G37" s="76">
        <v>6</v>
      </c>
      <c r="H37" s="76">
        <v>7</v>
      </c>
      <c r="I37" s="76">
        <v>8</v>
      </c>
      <c r="J37" s="76">
        <v>9</v>
      </c>
      <c r="K37" s="76"/>
    </row>
    <row r="38" spans="1:11" s="75" customFormat="1">
      <c r="A38" s="75" t="s">
        <v>196</v>
      </c>
      <c r="B38" s="76" t="s">
        <v>195</v>
      </c>
      <c r="C38" s="76" t="s">
        <v>17</v>
      </c>
      <c r="D38" s="76" t="s">
        <v>31</v>
      </c>
      <c r="E38" s="76" t="s">
        <v>49</v>
      </c>
      <c r="F38" s="76" t="s">
        <v>80</v>
      </c>
      <c r="G38" s="76" t="s">
        <v>271</v>
      </c>
      <c r="H38" s="76" t="s">
        <v>272</v>
      </c>
      <c r="I38" s="76" t="s">
        <v>110</v>
      </c>
      <c r="J38" s="76" t="s">
        <v>273</v>
      </c>
      <c r="K38" s="76"/>
    </row>
    <row r="39" spans="1:11" s="75" customFormat="1">
      <c r="A39" s="75" t="s">
        <v>238</v>
      </c>
      <c r="B39" s="85"/>
      <c r="C39" s="85"/>
      <c r="D39" s="85"/>
      <c r="E39" s="85"/>
      <c r="F39" s="85"/>
    </row>
    <row r="40" spans="1:11" s="75" customFormat="1"/>
  </sheetData>
  <mergeCells count="4">
    <mergeCell ref="G1:R1"/>
    <mergeCell ref="S1:AD1"/>
    <mergeCell ref="AE1:AP1"/>
    <mergeCell ref="B34:D34"/>
  </mergeCells>
  <phoneticPr fontId="18" type="noConversion"/>
  <hyperlinks>
    <hyperlink ref="B34:D34" location="'Output-&gt;'!A1" display="-&gt; Zum Output" xr:uid="{4057D45A-25D8-4F82-A56C-5626CEBDFF6C}"/>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8F056-8277-4DA5-B979-516C4256C40F}">
  <sheetPr>
    <tabColor rgb="FFFFC000"/>
  </sheetPr>
  <dimension ref="A1:AP43"/>
  <sheetViews>
    <sheetView showGridLines="0" zoomScaleNormal="100" workbookViewId="0">
      <pane xSplit="6" ySplit="2" topLeftCell="G3" activePane="bottomRight" state="frozen"/>
      <selection pane="topRight" activeCell="G1" sqref="G1"/>
      <selection pane="bottomLeft" activeCell="A3" sqref="A3"/>
      <selection pane="bottomRight"/>
    </sheetView>
  </sheetViews>
  <sheetFormatPr baseColWidth="10" defaultColWidth="11.5" defaultRowHeight="15"/>
  <cols>
    <col min="1" max="1" width="22.33203125" style="13" bestFit="1" customWidth="1"/>
    <col min="2" max="4" width="16" style="13" customWidth="1"/>
    <col min="5" max="5" width="11.1640625" style="13" customWidth="1"/>
    <col min="6" max="6" width="29.5" style="13" bestFit="1" customWidth="1"/>
    <col min="7" max="42" width="13.6640625" style="13" customWidth="1"/>
    <col min="43" max="16384" width="11.5" style="13"/>
  </cols>
  <sheetData>
    <row r="1" spans="1:42" ht="16">
      <c r="A1" s="12" t="s">
        <v>110</v>
      </c>
      <c r="B1" s="15"/>
      <c r="C1" s="15"/>
      <c r="D1" s="15"/>
      <c r="E1" s="15"/>
      <c r="F1" s="14" t="s">
        <v>18</v>
      </c>
      <c r="G1" s="134" t="s">
        <v>19</v>
      </c>
      <c r="H1" s="134"/>
      <c r="I1" s="134"/>
      <c r="J1" s="134"/>
      <c r="K1" s="134"/>
      <c r="L1" s="134"/>
      <c r="M1" s="134"/>
      <c r="N1" s="134"/>
      <c r="O1" s="134"/>
      <c r="P1" s="134"/>
      <c r="Q1" s="134"/>
      <c r="R1" s="134"/>
      <c r="S1" s="134" t="s">
        <v>20</v>
      </c>
      <c r="T1" s="134"/>
      <c r="U1" s="134"/>
      <c r="V1" s="134"/>
      <c r="W1" s="134"/>
      <c r="X1" s="134"/>
      <c r="Y1" s="134"/>
      <c r="Z1" s="134"/>
      <c r="AA1" s="134"/>
      <c r="AB1" s="134"/>
      <c r="AC1" s="134"/>
      <c r="AD1" s="134"/>
      <c r="AE1" s="134" t="s">
        <v>21</v>
      </c>
      <c r="AF1" s="134"/>
      <c r="AG1" s="134"/>
      <c r="AH1" s="134"/>
      <c r="AI1" s="134"/>
      <c r="AJ1" s="134"/>
      <c r="AK1" s="134"/>
      <c r="AL1" s="134"/>
      <c r="AM1" s="134"/>
      <c r="AN1" s="134"/>
      <c r="AO1" s="134"/>
      <c r="AP1" s="134"/>
    </row>
    <row r="2" spans="1:42" ht="16">
      <c r="A2" s="93" t="str">
        <f>Cover!C11</f>
        <v>Ellmann Consulting GmbH</v>
      </c>
      <c r="B2" s="15"/>
      <c r="C2" s="15"/>
      <c r="D2" s="15"/>
      <c r="E2" s="15"/>
      <c r="F2" s="14" t="s">
        <v>22</v>
      </c>
      <c r="G2" s="24">
        <f>DATE(YEAR(Cover!C15),MONTH(Cover!C15),DAY(Cover!C15))</f>
        <v>45658</v>
      </c>
      <c r="H2" s="16">
        <f>DATE(YEAR(G2),MONTH(G2)+1,DAY(G2))</f>
        <v>45689</v>
      </c>
      <c r="I2" s="16">
        <f t="shared" ref="I2:AP2" si="0">DATE(YEAR(H2),MONTH(H2)+1,DAY(H2))</f>
        <v>45717</v>
      </c>
      <c r="J2" s="16">
        <f t="shared" si="0"/>
        <v>45748</v>
      </c>
      <c r="K2" s="16">
        <f t="shared" si="0"/>
        <v>45778</v>
      </c>
      <c r="L2" s="16">
        <f t="shared" si="0"/>
        <v>45809</v>
      </c>
      <c r="M2" s="16">
        <f t="shared" si="0"/>
        <v>45839</v>
      </c>
      <c r="N2" s="16">
        <f t="shared" si="0"/>
        <v>45870</v>
      </c>
      <c r="O2" s="16">
        <f t="shared" si="0"/>
        <v>45901</v>
      </c>
      <c r="P2" s="16">
        <f t="shared" si="0"/>
        <v>45931</v>
      </c>
      <c r="Q2" s="16">
        <f t="shared" si="0"/>
        <v>45962</v>
      </c>
      <c r="R2" s="16">
        <f t="shared" si="0"/>
        <v>45992</v>
      </c>
      <c r="S2" s="16">
        <f t="shared" si="0"/>
        <v>46023</v>
      </c>
      <c r="T2" s="16">
        <f t="shared" si="0"/>
        <v>46054</v>
      </c>
      <c r="U2" s="16">
        <f t="shared" si="0"/>
        <v>46082</v>
      </c>
      <c r="V2" s="16">
        <f t="shared" si="0"/>
        <v>46113</v>
      </c>
      <c r="W2" s="16">
        <f t="shared" si="0"/>
        <v>46143</v>
      </c>
      <c r="X2" s="16">
        <f t="shared" si="0"/>
        <v>46174</v>
      </c>
      <c r="Y2" s="16">
        <f t="shared" si="0"/>
        <v>46204</v>
      </c>
      <c r="Z2" s="16">
        <f t="shared" si="0"/>
        <v>46235</v>
      </c>
      <c r="AA2" s="16">
        <f t="shared" si="0"/>
        <v>46266</v>
      </c>
      <c r="AB2" s="16">
        <f t="shared" si="0"/>
        <v>46296</v>
      </c>
      <c r="AC2" s="16">
        <f t="shared" si="0"/>
        <v>46327</v>
      </c>
      <c r="AD2" s="16">
        <f t="shared" si="0"/>
        <v>46357</v>
      </c>
      <c r="AE2" s="16">
        <f t="shared" si="0"/>
        <v>46388</v>
      </c>
      <c r="AF2" s="16">
        <f t="shared" si="0"/>
        <v>46419</v>
      </c>
      <c r="AG2" s="16">
        <f t="shared" si="0"/>
        <v>46447</v>
      </c>
      <c r="AH2" s="16">
        <f t="shared" si="0"/>
        <v>46478</v>
      </c>
      <c r="AI2" s="16">
        <f t="shared" si="0"/>
        <v>46508</v>
      </c>
      <c r="AJ2" s="16">
        <f t="shared" si="0"/>
        <v>46539</v>
      </c>
      <c r="AK2" s="16">
        <f t="shared" si="0"/>
        <v>46569</v>
      </c>
      <c r="AL2" s="16">
        <f t="shared" si="0"/>
        <v>46600</v>
      </c>
      <c r="AM2" s="16">
        <f t="shared" si="0"/>
        <v>46631</v>
      </c>
      <c r="AN2" s="16">
        <f t="shared" si="0"/>
        <v>46661</v>
      </c>
      <c r="AO2" s="16">
        <f t="shared" si="0"/>
        <v>46692</v>
      </c>
      <c r="AP2" s="16">
        <f t="shared" si="0"/>
        <v>46722</v>
      </c>
    </row>
    <row r="4" spans="1:42">
      <c r="A4" s="19" t="s">
        <v>90</v>
      </c>
      <c r="B4" s="19"/>
      <c r="C4" s="19"/>
      <c r="D4" s="19"/>
      <c r="E4" s="19"/>
      <c r="F4" s="17"/>
    </row>
    <row r="5" spans="1:42">
      <c r="A5" s="38"/>
      <c r="B5" s="38"/>
      <c r="C5" s="38"/>
      <c r="D5" s="38"/>
      <c r="E5" s="38"/>
      <c r="F5" s="38"/>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row>
    <row r="6" spans="1:42">
      <c r="B6" s="40"/>
      <c r="C6" s="40"/>
      <c r="D6" s="40"/>
      <c r="E6" s="40"/>
      <c r="F6" s="40" t="s">
        <v>91</v>
      </c>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row>
    <row r="7" spans="1:42">
      <c r="F7" s="18" t="s">
        <v>92</v>
      </c>
      <c r="G7" s="120">
        <v>120</v>
      </c>
      <c r="H7" s="43">
        <f>IF(G7-1&gt;0,G7-1,0)</f>
        <v>119</v>
      </c>
      <c r="I7" s="43">
        <f t="shared" ref="I7:AP7" si="1">IF(H7-1&gt;0,H7-1,0)</f>
        <v>118</v>
      </c>
      <c r="J7" s="43">
        <f t="shared" si="1"/>
        <v>117</v>
      </c>
      <c r="K7" s="43">
        <f t="shared" si="1"/>
        <v>116</v>
      </c>
      <c r="L7" s="43">
        <f t="shared" si="1"/>
        <v>115</v>
      </c>
      <c r="M7" s="43">
        <f t="shared" si="1"/>
        <v>114</v>
      </c>
      <c r="N7" s="43">
        <f t="shared" si="1"/>
        <v>113</v>
      </c>
      <c r="O7" s="43">
        <f t="shared" si="1"/>
        <v>112</v>
      </c>
      <c r="P7" s="43">
        <f t="shared" si="1"/>
        <v>111</v>
      </c>
      <c r="Q7" s="43">
        <f t="shared" si="1"/>
        <v>110</v>
      </c>
      <c r="R7" s="43">
        <f t="shared" si="1"/>
        <v>109</v>
      </c>
      <c r="S7" s="43">
        <f t="shared" si="1"/>
        <v>108</v>
      </c>
      <c r="T7" s="43">
        <f t="shared" si="1"/>
        <v>107</v>
      </c>
      <c r="U7" s="43">
        <f t="shared" si="1"/>
        <v>106</v>
      </c>
      <c r="V7" s="43">
        <f t="shared" si="1"/>
        <v>105</v>
      </c>
      <c r="W7" s="43">
        <f t="shared" si="1"/>
        <v>104</v>
      </c>
      <c r="X7" s="43">
        <f t="shared" si="1"/>
        <v>103</v>
      </c>
      <c r="Y7" s="43">
        <f t="shared" si="1"/>
        <v>102</v>
      </c>
      <c r="Z7" s="43">
        <f t="shared" si="1"/>
        <v>101</v>
      </c>
      <c r="AA7" s="43">
        <f t="shared" si="1"/>
        <v>100</v>
      </c>
      <c r="AB7" s="43">
        <f t="shared" si="1"/>
        <v>99</v>
      </c>
      <c r="AC7" s="43">
        <f t="shared" si="1"/>
        <v>98</v>
      </c>
      <c r="AD7" s="43">
        <f t="shared" si="1"/>
        <v>97</v>
      </c>
      <c r="AE7" s="43">
        <f t="shared" si="1"/>
        <v>96</v>
      </c>
      <c r="AF7" s="43">
        <f t="shared" si="1"/>
        <v>95</v>
      </c>
      <c r="AG7" s="43">
        <f t="shared" si="1"/>
        <v>94</v>
      </c>
      <c r="AH7" s="43">
        <f t="shared" si="1"/>
        <v>93</v>
      </c>
      <c r="AI7" s="43">
        <f t="shared" si="1"/>
        <v>92</v>
      </c>
      <c r="AJ7" s="43">
        <f t="shared" si="1"/>
        <v>91</v>
      </c>
      <c r="AK7" s="43">
        <f t="shared" si="1"/>
        <v>90</v>
      </c>
      <c r="AL7" s="43">
        <f t="shared" si="1"/>
        <v>89</v>
      </c>
      <c r="AM7" s="43">
        <f t="shared" si="1"/>
        <v>88</v>
      </c>
      <c r="AN7" s="43">
        <f t="shared" si="1"/>
        <v>87</v>
      </c>
      <c r="AO7" s="43">
        <f t="shared" si="1"/>
        <v>86</v>
      </c>
      <c r="AP7" s="43">
        <f t="shared" si="1"/>
        <v>85</v>
      </c>
    </row>
    <row r="8" spans="1:42">
      <c r="F8" s="18" t="s">
        <v>93</v>
      </c>
      <c r="G8" s="121">
        <v>650000</v>
      </c>
      <c r="H8" s="42">
        <f>IFERROR(G8-G12,0)</f>
        <v>650000</v>
      </c>
      <c r="I8" s="42">
        <f t="shared" ref="I8:AP8" si="2">IFERROR(H8-H12,"")</f>
        <v>650000</v>
      </c>
      <c r="J8" s="42">
        <f t="shared" si="2"/>
        <v>650000</v>
      </c>
      <c r="K8" s="42">
        <f t="shared" si="2"/>
        <v>650000</v>
      </c>
      <c r="L8" s="42">
        <f t="shared" si="2"/>
        <v>650000</v>
      </c>
      <c r="M8" s="42">
        <f t="shared" si="2"/>
        <v>650000</v>
      </c>
      <c r="N8" s="42">
        <f t="shared" si="2"/>
        <v>650000</v>
      </c>
      <c r="O8" s="42">
        <f t="shared" si="2"/>
        <v>650000</v>
      </c>
      <c r="P8" s="42">
        <f t="shared" si="2"/>
        <v>650000</v>
      </c>
      <c r="Q8" s="42">
        <f t="shared" si="2"/>
        <v>650000</v>
      </c>
      <c r="R8" s="42">
        <f t="shared" si="2"/>
        <v>650000</v>
      </c>
      <c r="S8" s="42">
        <f t="shared" si="2"/>
        <v>650000</v>
      </c>
      <c r="T8" s="42">
        <f t="shared" si="2"/>
        <v>644990.0368797034</v>
      </c>
      <c r="U8" s="42">
        <f t="shared" si="2"/>
        <v>639963.3738823391</v>
      </c>
      <c r="V8" s="42">
        <f t="shared" si="2"/>
        <v>634919.95534165029</v>
      </c>
      <c r="W8" s="42">
        <f t="shared" si="2"/>
        <v>629859.72540582588</v>
      </c>
      <c r="X8" s="42">
        <f t="shared" si="2"/>
        <v>624782.62803688203</v>
      </c>
      <c r="Y8" s="42">
        <f t="shared" si="2"/>
        <v>619688.60701004171</v>
      </c>
      <c r="Z8" s="42">
        <f t="shared" si="2"/>
        <v>614577.60591311194</v>
      </c>
      <c r="AA8" s="42">
        <f t="shared" si="2"/>
        <v>609449.56814585906</v>
      </c>
      <c r="AB8" s="42">
        <f t="shared" si="2"/>
        <v>604304.43691938196</v>
      </c>
      <c r="AC8" s="42">
        <f t="shared" si="2"/>
        <v>599142.15525548335</v>
      </c>
      <c r="AD8" s="42">
        <f t="shared" si="2"/>
        <v>593962.6659860384</v>
      </c>
      <c r="AE8" s="42">
        <f t="shared" si="2"/>
        <v>588765.91175236192</v>
      </c>
      <c r="AF8" s="42">
        <f t="shared" si="2"/>
        <v>583551.83500457322</v>
      </c>
      <c r="AG8" s="42">
        <f t="shared" si="2"/>
        <v>578320.37800095859</v>
      </c>
      <c r="AH8" s="42">
        <f t="shared" si="2"/>
        <v>573071.48280733183</v>
      </c>
      <c r="AI8" s="42">
        <f t="shared" si="2"/>
        <v>567805.09129639308</v>
      </c>
      <c r="AJ8" s="42">
        <f t="shared" si="2"/>
        <v>562521.14514708449</v>
      </c>
      <c r="AK8" s="42">
        <f t="shared" si="2"/>
        <v>557219.58584394481</v>
      </c>
      <c r="AL8" s="42">
        <f t="shared" si="2"/>
        <v>551900.35467646131</v>
      </c>
      <c r="AM8" s="42">
        <f t="shared" si="2"/>
        <v>546563.39273841958</v>
      </c>
      <c r="AN8" s="42">
        <f t="shared" si="2"/>
        <v>541208.64092725108</v>
      </c>
      <c r="AO8" s="42">
        <f t="shared" si="2"/>
        <v>535836.03994337865</v>
      </c>
      <c r="AP8" s="42">
        <f t="shared" si="2"/>
        <v>530445.53028955997</v>
      </c>
    </row>
    <row r="9" spans="1:42">
      <c r="F9" s="18" t="s">
        <v>94</v>
      </c>
      <c r="G9" s="42">
        <f>G11</f>
        <v>2166.6666666666665</v>
      </c>
      <c r="H9" s="42">
        <f t="shared" ref="H9:R9" si="3">H11</f>
        <v>2166.6666666666665</v>
      </c>
      <c r="I9" s="42">
        <f t="shared" si="3"/>
        <v>2166.6666666666665</v>
      </c>
      <c r="J9" s="42">
        <f t="shared" si="3"/>
        <v>2166.6666666666665</v>
      </c>
      <c r="K9" s="42">
        <f t="shared" si="3"/>
        <v>2166.6666666666665</v>
      </c>
      <c r="L9" s="42">
        <f t="shared" si="3"/>
        <v>2166.6666666666665</v>
      </c>
      <c r="M9" s="42">
        <f t="shared" si="3"/>
        <v>2166.6666666666665</v>
      </c>
      <c r="N9" s="42">
        <f t="shared" si="3"/>
        <v>2166.6666666666665</v>
      </c>
      <c r="O9" s="42">
        <f t="shared" si="3"/>
        <v>2166.6666666666665</v>
      </c>
      <c r="P9" s="42">
        <f t="shared" si="3"/>
        <v>2166.6666666666665</v>
      </c>
      <c r="Q9" s="42">
        <f t="shared" si="3"/>
        <v>2166.6666666666665</v>
      </c>
      <c r="R9" s="42">
        <f t="shared" si="3"/>
        <v>2166.6666666666665</v>
      </c>
      <c r="S9" s="42">
        <f>IFERROR(PMT(S10/12,S7,-S8,0,0),0)</f>
        <v>7176.6297869632535</v>
      </c>
      <c r="T9" s="42">
        <f t="shared" ref="T9:AP9" si="4">IFERROR(IF(T7&gt;0,S9,0),0)</f>
        <v>7176.6297869632535</v>
      </c>
      <c r="U9" s="42">
        <f t="shared" si="4"/>
        <v>7176.6297869632535</v>
      </c>
      <c r="V9" s="42">
        <f t="shared" si="4"/>
        <v>7176.6297869632535</v>
      </c>
      <c r="W9" s="42">
        <f t="shared" si="4"/>
        <v>7176.6297869632535</v>
      </c>
      <c r="X9" s="42">
        <f t="shared" si="4"/>
        <v>7176.6297869632535</v>
      </c>
      <c r="Y9" s="42">
        <f t="shared" si="4"/>
        <v>7176.6297869632535</v>
      </c>
      <c r="Z9" s="42">
        <f t="shared" si="4"/>
        <v>7176.6297869632535</v>
      </c>
      <c r="AA9" s="42">
        <f t="shared" si="4"/>
        <v>7176.6297869632535</v>
      </c>
      <c r="AB9" s="42">
        <f t="shared" si="4"/>
        <v>7176.6297869632535</v>
      </c>
      <c r="AC9" s="42">
        <f t="shared" si="4"/>
        <v>7176.6297869632535</v>
      </c>
      <c r="AD9" s="42">
        <f t="shared" si="4"/>
        <v>7176.6297869632535</v>
      </c>
      <c r="AE9" s="42">
        <f t="shared" si="4"/>
        <v>7176.6297869632535</v>
      </c>
      <c r="AF9" s="42">
        <f t="shared" si="4"/>
        <v>7176.6297869632535</v>
      </c>
      <c r="AG9" s="42">
        <f t="shared" si="4"/>
        <v>7176.6297869632535</v>
      </c>
      <c r="AH9" s="42">
        <f t="shared" si="4"/>
        <v>7176.6297869632535</v>
      </c>
      <c r="AI9" s="42">
        <f t="shared" si="4"/>
        <v>7176.6297869632535</v>
      </c>
      <c r="AJ9" s="42">
        <f t="shared" si="4"/>
        <v>7176.6297869632535</v>
      </c>
      <c r="AK9" s="42">
        <f t="shared" si="4"/>
        <v>7176.6297869632535</v>
      </c>
      <c r="AL9" s="42">
        <f t="shared" si="4"/>
        <v>7176.6297869632535</v>
      </c>
      <c r="AM9" s="42">
        <f t="shared" si="4"/>
        <v>7176.6297869632535</v>
      </c>
      <c r="AN9" s="42">
        <f t="shared" si="4"/>
        <v>7176.6297869632535</v>
      </c>
      <c r="AO9" s="42">
        <f t="shared" si="4"/>
        <v>7176.6297869632535</v>
      </c>
      <c r="AP9" s="42">
        <f t="shared" si="4"/>
        <v>7176.6297869632535</v>
      </c>
    </row>
    <row r="10" spans="1:42">
      <c r="F10" s="18" t="s">
        <v>95</v>
      </c>
      <c r="G10" s="122">
        <v>0.04</v>
      </c>
      <c r="H10" s="45">
        <f>IF(H7&gt;0,G10,0)</f>
        <v>0.04</v>
      </c>
      <c r="I10" s="45">
        <f t="shared" ref="I10:AP10" si="5">IF(I7&gt;0,H10,0)</f>
        <v>0.04</v>
      </c>
      <c r="J10" s="45">
        <f t="shared" si="5"/>
        <v>0.04</v>
      </c>
      <c r="K10" s="45">
        <f t="shared" si="5"/>
        <v>0.04</v>
      </c>
      <c r="L10" s="45">
        <f t="shared" si="5"/>
        <v>0.04</v>
      </c>
      <c r="M10" s="45">
        <f t="shared" si="5"/>
        <v>0.04</v>
      </c>
      <c r="N10" s="45">
        <f t="shared" si="5"/>
        <v>0.04</v>
      </c>
      <c r="O10" s="45">
        <f t="shared" si="5"/>
        <v>0.04</v>
      </c>
      <c r="P10" s="45">
        <f t="shared" si="5"/>
        <v>0.04</v>
      </c>
      <c r="Q10" s="45">
        <f t="shared" si="5"/>
        <v>0.04</v>
      </c>
      <c r="R10" s="45">
        <f t="shared" si="5"/>
        <v>0.04</v>
      </c>
      <c r="S10" s="45">
        <f t="shared" si="5"/>
        <v>0.04</v>
      </c>
      <c r="T10" s="45">
        <f t="shared" si="5"/>
        <v>0.04</v>
      </c>
      <c r="U10" s="45">
        <f t="shared" si="5"/>
        <v>0.04</v>
      </c>
      <c r="V10" s="45">
        <f t="shared" si="5"/>
        <v>0.04</v>
      </c>
      <c r="W10" s="45">
        <f t="shared" si="5"/>
        <v>0.04</v>
      </c>
      <c r="X10" s="45">
        <f t="shared" si="5"/>
        <v>0.04</v>
      </c>
      <c r="Y10" s="45">
        <f t="shared" si="5"/>
        <v>0.04</v>
      </c>
      <c r="Z10" s="45">
        <f t="shared" si="5"/>
        <v>0.04</v>
      </c>
      <c r="AA10" s="45">
        <f t="shared" si="5"/>
        <v>0.04</v>
      </c>
      <c r="AB10" s="45">
        <f t="shared" si="5"/>
        <v>0.04</v>
      </c>
      <c r="AC10" s="45">
        <f t="shared" si="5"/>
        <v>0.04</v>
      </c>
      <c r="AD10" s="45">
        <f t="shared" si="5"/>
        <v>0.04</v>
      </c>
      <c r="AE10" s="45">
        <f t="shared" si="5"/>
        <v>0.04</v>
      </c>
      <c r="AF10" s="45">
        <f t="shared" si="5"/>
        <v>0.04</v>
      </c>
      <c r="AG10" s="45">
        <f t="shared" si="5"/>
        <v>0.04</v>
      </c>
      <c r="AH10" s="45">
        <f t="shared" si="5"/>
        <v>0.04</v>
      </c>
      <c r="AI10" s="45">
        <f t="shared" si="5"/>
        <v>0.04</v>
      </c>
      <c r="AJ10" s="45">
        <f t="shared" si="5"/>
        <v>0.04</v>
      </c>
      <c r="AK10" s="45">
        <f t="shared" si="5"/>
        <v>0.04</v>
      </c>
      <c r="AL10" s="45">
        <f t="shared" si="5"/>
        <v>0.04</v>
      </c>
      <c r="AM10" s="45">
        <f t="shared" si="5"/>
        <v>0.04</v>
      </c>
      <c r="AN10" s="45">
        <f t="shared" si="5"/>
        <v>0.04</v>
      </c>
      <c r="AO10" s="45">
        <f t="shared" si="5"/>
        <v>0.04</v>
      </c>
      <c r="AP10" s="45">
        <f t="shared" si="5"/>
        <v>0.04</v>
      </c>
    </row>
    <row r="11" spans="1:42">
      <c r="F11" s="18" t="s">
        <v>96</v>
      </c>
      <c r="G11" s="42">
        <f>G8*G10/12</f>
        <v>2166.6666666666665</v>
      </c>
      <c r="H11" s="42">
        <f>IFERROR(H8*H10/12,0)</f>
        <v>2166.6666666666665</v>
      </c>
      <c r="I11" s="42">
        <f t="shared" ref="I11:AP11" si="6">IFERROR(I8*I10/12,0)</f>
        <v>2166.6666666666665</v>
      </c>
      <c r="J11" s="42">
        <f t="shared" si="6"/>
        <v>2166.6666666666665</v>
      </c>
      <c r="K11" s="42">
        <f t="shared" si="6"/>
        <v>2166.6666666666665</v>
      </c>
      <c r="L11" s="42">
        <f t="shared" si="6"/>
        <v>2166.6666666666665</v>
      </c>
      <c r="M11" s="42">
        <f t="shared" si="6"/>
        <v>2166.6666666666665</v>
      </c>
      <c r="N11" s="42">
        <f t="shared" si="6"/>
        <v>2166.6666666666665</v>
      </c>
      <c r="O11" s="42">
        <f t="shared" si="6"/>
        <v>2166.6666666666665</v>
      </c>
      <c r="P11" s="42">
        <f t="shared" si="6"/>
        <v>2166.6666666666665</v>
      </c>
      <c r="Q11" s="42">
        <f t="shared" si="6"/>
        <v>2166.6666666666665</v>
      </c>
      <c r="R11" s="42">
        <f t="shared" si="6"/>
        <v>2166.6666666666665</v>
      </c>
      <c r="S11" s="42">
        <f t="shared" si="6"/>
        <v>2166.6666666666665</v>
      </c>
      <c r="T11" s="42">
        <f t="shared" si="6"/>
        <v>2149.9667895990115</v>
      </c>
      <c r="U11" s="42">
        <f t="shared" si="6"/>
        <v>2133.211246274464</v>
      </c>
      <c r="V11" s="42">
        <f t="shared" si="6"/>
        <v>2116.3998511388345</v>
      </c>
      <c r="W11" s="42">
        <f t="shared" si="6"/>
        <v>2099.5324180194198</v>
      </c>
      <c r="X11" s="42">
        <f t="shared" si="6"/>
        <v>2082.6087601229401</v>
      </c>
      <c r="Y11" s="42">
        <f t="shared" si="6"/>
        <v>2065.6286900334721</v>
      </c>
      <c r="Z11" s="42">
        <f t="shared" si="6"/>
        <v>2048.5920197103733</v>
      </c>
      <c r="AA11" s="42">
        <f t="shared" si="6"/>
        <v>2031.4985604861968</v>
      </c>
      <c r="AB11" s="42">
        <f t="shared" si="6"/>
        <v>2014.3481230646066</v>
      </c>
      <c r="AC11" s="42">
        <f t="shared" si="6"/>
        <v>1997.1405175182779</v>
      </c>
      <c r="AD11" s="42">
        <f t="shared" si="6"/>
        <v>1979.8755532867947</v>
      </c>
      <c r="AE11" s="42">
        <f t="shared" si="6"/>
        <v>1962.5530391745397</v>
      </c>
      <c r="AF11" s="42">
        <f t="shared" si="6"/>
        <v>1945.1727833485775</v>
      </c>
      <c r="AG11" s="42">
        <f t="shared" si="6"/>
        <v>1927.7345933365286</v>
      </c>
      <c r="AH11" s="42">
        <f t="shared" si="6"/>
        <v>1910.2382760244393</v>
      </c>
      <c r="AI11" s="42">
        <f t="shared" si="6"/>
        <v>1892.6836376546437</v>
      </c>
      <c r="AJ11" s="42">
        <f t="shared" si="6"/>
        <v>1875.0704838236149</v>
      </c>
      <c r="AK11" s="42">
        <f t="shared" si="6"/>
        <v>1857.398619479816</v>
      </c>
      <c r="AL11" s="42">
        <f t="shared" si="6"/>
        <v>1839.6678489215376</v>
      </c>
      <c r="AM11" s="42">
        <f t="shared" si="6"/>
        <v>1821.877975794732</v>
      </c>
      <c r="AN11" s="42">
        <f t="shared" si="6"/>
        <v>1804.0288030908368</v>
      </c>
      <c r="AO11" s="42">
        <f t="shared" si="6"/>
        <v>1786.1201331445955</v>
      </c>
      <c r="AP11" s="42">
        <f t="shared" si="6"/>
        <v>1768.1517676318665</v>
      </c>
    </row>
    <row r="12" spans="1:42">
      <c r="F12" s="18" t="s">
        <v>97</v>
      </c>
      <c r="G12" s="42">
        <f>G9-G11</f>
        <v>0</v>
      </c>
      <c r="H12" s="42">
        <f>IF(H8&gt;H9-H11,H9-H11,H8)</f>
        <v>0</v>
      </c>
      <c r="I12" s="42">
        <f t="shared" ref="I12:AP12" si="7">IF(I8&gt;I9-I11,I9-I11,I8)</f>
        <v>0</v>
      </c>
      <c r="J12" s="42">
        <f t="shared" si="7"/>
        <v>0</v>
      </c>
      <c r="K12" s="42">
        <f t="shared" si="7"/>
        <v>0</v>
      </c>
      <c r="L12" s="42">
        <f t="shared" si="7"/>
        <v>0</v>
      </c>
      <c r="M12" s="42">
        <f t="shared" si="7"/>
        <v>0</v>
      </c>
      <c r="N12" s="42">
        <f t="shared" si="7"/>
        <v>0</v>
      </c>
      <c r="O12" s="42">
        <f t="shared" si="7"/>
        <v>0</v>
      </c>
      <c r="P12" s="42">
        <f t="shared" si="7"/>
        <v>0</v>
      </c>
      <c r="Q12" s="42">
        <f t="shared" si="7"/>
        <v>0</v>
      </c>
      <c r="R12" s="42">
        <f t="shared" si="7"/>
        <v>0</v>
      </c>
      <c r="S12" s="42">
        <f t="shared" si="7"/>
        <v>5009.9631202965866</v>
      </c>
      <c r="T12" s="42">
        <f t="shared" si="7"/>
        <v>5026.6629973642421</v>
      </c>
      <c r="U12" s="42">
        <f t="shared" si="7"/>
        <v>5043.41854068879</v>
      </c>
      <c r="V12" s="42">
        <f t="shared" si="7"/>
        <v>5060.229935824419</v>
      </c>
      <c r="W12" s="42">
        <f t="shared" si="7"/>
        <v>5077.0973689438342</v>
      </c>
      <c r="X12" s="42">
        <f t="shared" si="7"/>
        <v>5094.0210268403134</v>
      </c>
      <c r="Y12" s="42">
        <f t="shared" si="7"/>
        <v>5111.0010969297819</v>
      </c>
      <c r="Z12" s="42">
        <f t="shared" si="7"/>
        <v>5128.0377672528803</v>
      </c>
      <c r="AA12" s="42">
        <f t="shared" si="7"/>
        <v>5145.1312264770568</v>
      </c>
      <c r="AB12" s="42">
        <f t="shared" si="7"/>
        <v>5162.2816638986469</v>
      </c>
      <c r="AC12" s="42">
        <f t="shared" si="7"/>
        <v>5179.4892694449754</v>
      </c>
      <c r="AD12" s="42">
        <f t="shared" si="7"/>
        <v>5196.7542336764591</v>
      </c>
      <c r="AE12" s="42">
        <f t="shared" si="7"/>
        <v>5214.0767477887139</v>
      </c>
      <c r="AF12" s="42">
        <f t="shared" si="7"/>
        <v>5231.4570036146761</v>
      </c>
      <c r="AG12" s="42">
        <f t="shared" si="7"/>
        <v>5248.8951936267249</v>
      </c>
      <c r="AH12" s="42">
        <f t="shared" si="7"/>
        <v>5266.3915109388145</v>
      </c>
      <c r="AI12" s="42">
        <f t="shared" si="7"/>
        <v>5283.9461493086101</v>
      </c>
      <c r="AJ12" s="42">
        <f t="shared" si="7"/>
        <v>5301.5593031396384</v>
      </c>
      <c r="AK12" s="42">
        <f t="shared" si="7"/>
        <v>5319.2311674834373</v>
      </c>
      <c r="AL12" s="42">
        <f t="shared" si="7"/>
        <v>5336.9619380417162</v>
      </c>
      <c r="AM12" s="42">
        <f t="shared" si="7"/>
        <v>5354.7518111685213</v>
      </c>
      <c r="AN12" s="42">
        <f t="shared" si="7"/>
        <v>5372.6009838724167</v>
      </c>
      <c r="AO12" s="42">
        <f t="shared" si="7"/>
        <v>5390.5096538186581</v>
      </c>
      <c r="AP12" s="42">
        <f t="shared" si="7"/>
        <v>5408.4780193313873</v>
      </c>
    </row>
    <row r="13" spans="1:42">
      <c r="B13" s="26"/>
      <c r="C13" s="26"/>
      <c r="D13" s="26"/>
      <c r="E13" s="26"/>
      <c r="F13" s="26" t="s">
        <v>98</v>
      </c>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row>
    <row r="14" spans="1:42">
      <c r="B14" s="38"/>
      <c r="C14" s="38"/>
      <c r="D14" s="38"/>
      <c r="E14" s="38"/>
      <c r="F14" s="38"/>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row>
    <row r="15" spans="1:42">
      <c r="B15" s="40"/>
      <c r="C15" s="40"/>
      <c r="D15" s="40"/>
      <c r="E15" s="40"/>
      <c r="F15" s="40" t="s">
        <v>99</v>
      </c>
      <c r="G15" s="39"/>
      <c r="H15" s="39"/>
      <c r="I15" s="39"/>
      <c r="J15" s="39"/>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row>
    <row r="16" spans="1:42">
      <c r="F16" s="18" t="s">
        <v>92</v>
      </c>
      <c r="G16" s="83"/>
      <c r="H16" s="83"/>
      <c r="I16" s="83"/>
      <c r="J16" s="83"/>
      <c r="K16" s="120">
        <v>0</v>
      </c>
      <c r="L16" s="43">
        <f>IF(K16-1&gt;0,K16-1,0)</f>
        <v>0</v>
      </c>
      <c r="M16" s="43">
        <f t="shared" ref="M16:AP16" si="8">IF(L16-1&gt;0,L16-1,0)</f>
        <v>0</v>
      </c>
      <c r="N16" s="43">
        <f t="shared" si="8"/>
        <v>0</v>
      </c>
      <c r="O16" s="43">
        <f t="shared" si="8"/>
        <v>0</v>
      </c>
      <c r="P16" s="43">
        <f t="shared" si="8"/>
        <v>0</v>
      </c>
      <c r="Q16" s="43">
        <f t="shared" si="8"/>
        <v>0</v>
      </c>
      <c r="R16" s="43">
        <f t="shared" si="8"/>
        <v>0</v>
      </c>
      <c r="S16" s="43">
        <f t="shared" si="8"/>
        <v>0</v>
      </c>
      <c r="T16" s="43">
        <f t="shared" si="8"/>
        <v>0</v>
      </c>
      <c r="U16" s="43">
        <f t="shared" si="8"/>
        <v>0</v>
      </c>
      <c r="V16" s="43">
        <f t="shared" si="8"/>
        <v>0</v>
      </c>
      <c r="W16" s="43">
        <f t="shared" si="8"/>
        <v>0</v>
      </c>
      <c r="X16" s="43">
        <f t="shared" si="8"/>
        <v>0</v>
      </c>
      <c r="Y16" s="43">
        <f t="shared" si="8"/>
        <v>0</v>
      </c>
      <c r="Z16" s="43">
        <f t="shared" si="8"/>
        <v>0</v>
      </c>
      <c r="AA16" s="43">
        <f t="shared" si="8"/>
        <v>0</v>
      </c>
      <c r="AB16" s="43">
        <f t="shared" si="8"/>
        <v>0</v>
      </c>
      <c r="AC16" s="43">
        <f t="shared" si="8"/>
        <v>0</v>
      </c>
      <c r="AD16" s="43">
        <f t="shared" si="8"/>
        <v>0</v>
      </c>
      <c r="AE16" s="43">
        <f t="shared" si="8"/>
        <v>0</v>
      </c>
      <c r="AF16" s="43">
        <f t="shared" si="8"/>
        <v>0</v>
      </c>
      <c r="AG16" s="43">
        <f t="shared" si="8"/>
        <v>0</v>
      </c>
      <c r="AH16" s="43">
        <f t="shared" si="8"/>
        <v>0</v>
      </c>
      <c r="AI16" s="43">
        <f t="shared" si="8"/>
        <v>0</v>
      </c>
      <c r="AJ16" s="43">
        <f t="shared" si="8"/>
        <v>0</v>
      </c>
      <c r="AK16" s="43">
        <f t="shared" si="8"/>
        <v>0</v>
      </c>
      <c r="AL16" s="43">
        <f t="shared" si="8"/>
        <v>0</v>
      </c>
      <c r="AM16" s="43">
        <f t="shared" si="8"/>
        <v>0</v>
      </c>
      <c r="AN16" s="43">
        <f t="shared" si="8"/>
        <v>0</v>
      </c>
      <c r="AO16" s="43">
        <f t="shared" si="8"/>
        <v>0</v>
      </c>
      <c r="AP16" s="43">
        <f t="shared" si="8"/>
        <v>0</v>
      </c>
    </row>
    <row r="17" spans="1:42">
      <c r="F17" s="18" t="s">
        <v>93</v>
      </c>
      <c r="G17" s="83"/>
      <c r="H17" s="83"/>
      <c r="I17" s="83"/>
      <c r="J17" s="83"/>
      <c r="K17" s="121">
        <v>0</v>
      </c>
      <c r="L17" s="42">
        <f>IFERROR(K17-K21,0)</f>
        <v>0</v>
      </c>
      <c r="M17" s="42">
        <f t="shared" ref="M17:AP17" si="9">L17-L21</f>
        <v>0</v>
      </c>
      <c r="N17" s="42">
        <f t="shared" si="9"/>
        <v>0</v>
      </c>
      <c r="O17" s="42">
        <f t="shared" si="9"/>
        <v>0</v>
      </c>
      <c r="P17" s="42">
        <f t="shared" si="9"/>
        <v>0</v>
      </c>
      <c r="Q17" s="42">
        <f t="shared" si="9"/>
        <v>0</v>
      </c>
      <c r="R17" s="42">
        <f t="shared" si="9"/>
        <v>0</v>
      </c>
      <c r="S17" s="42">
        <f t="shared" si="9"/>
        <v>0</v>
      </c>
      <c r="T17" s="42">
        <f t="shared" si="9"/>
        <v>0</v>
      </c>
      <c r="U17" s="42">
        <f t="shared" si="9"/>
        <v>0</v>
      </c>
      <c r="V17" s="42">
        <f t="shared" si="9"/>
        <v>0</v>
      </c>
      <c r="W17" s="42">
        <f t="shared" si="9"/>
        <v>0</v>
      </c>
      <c r="X17" s="42">
        <f t="shared" si="9"/>
        <v>0</v>
      </c>
      <c r="Y17" s="42">
        <f t="shared" si="9"/>
        <v>0</v>
      </c>
      <c r="Z17" s="42">
        <f t="shared" si="9"/>
        <v>0</v>
      </c>
      <c r="AA17" s="42">
        <f t="shared" si="9"/>
        <v>0</v>
      </c>
      <c r="AB17" s="42">
        <f t="shared" si="9"/>
        <v>0</v>
      </c>
      <c r="AC17" s="42">
        <f t="shared" si="9"/>
        <v>0</v>
      </c>
      <c r="AD17" s="42">
        <f t="shared" si="9"/>
        <v>0</v>
      </c>
      <c r="AE17" s="42">
        <f t="shared" si="9"/>
        <v>0</v>
      </c>
      <c r="AF17" s="42">
        <f t="shared" si="9"/>
        <v>0</v>
      </c>
      <c r="AG17" s="42">
        <f t="shared" si="9"/>
        <v>0</v>
      </c>
      <c r="AH17" s="42">
        <f t="shared" si="9"/>
        <v>0</v>
      </c>
      <c r="AI17" s="42">
        <f t="shared" si="9"/>
        <v>0</v>
      </c>
      <c r="AJ17" s="42">
        <f t="shared" si="9"/>
        <v>0</v>
      </c>
      <c r="AK17" s="42">
        <f t="shared" si="9"/>
        <v>0</v>
      </c>
      <c r="AL17" s="42">
        <f t="shared" si="9"/>
        <v>0</v>
      </c>
      <c r="AM17" s="42">
        <f t="shared" si="9"/>
        <v>0</v>
      </c>
      <c r="AN17" s="42">
        <f t="shared" si="9"/>
        <v>0</v>
      </c>
      <c r="AO17" s="42">
        <f t="shared" si="9"/>
        <v>0</v>
      </c>
      <c r="AP17" s="42">
        <f t="shared" si="9"/>
        <v>0</v>
      </c>
    </row>
    <row r="18" spans="1:42">
      <c r="F18" s="18" t="s">
        <v>94</v>
      </c>
      <c r="G18" s="83"/>
      <c r="H18" s="83"/>
      <c r="I18" s="83"/>
      <c r="J18" s="83"/>
      <c r="K18" s="42">
        <f>IFERROR(PMT(K19,K16,-K17,0,0),0)</f>
        <v>0</v>
      </c>
      <c r="L18" s="42">
        <f t="shared" ref="L18:AP18" si="10">IF(L16&gt;0,K18,0)</f>
        <v>0</v>
      </c>
      <c r="M18" s="42">
        <f t="shared" si="10"/>
        <v>0</v>
      </c>
      <c r="N18" s="42">
        <f t="shared" si="10"/>
        <v>0</v>
      </c>
      <c r="O18" s="42">
        <f t="shared" si="10"/>
        <v>0</v>
      </c>
      <c r="P18" s="42">
        <f t="shared" si="10"/>
        <v>0</v>
      </c>
      <c r="Q18" s="42">
        <f t="shared" si="10"/>
        <v>0</v>
      </c>
      <c r="R18" s="42">
        <f t="shared" si="10"/>
        <v>0</v>
      </c>
      <c r="S18" s="42">
        <f t="shared" si="10"/>
        <v>0</v>
      </c>
      <c r="T18" s="42">
        <f t="shared" si="10"/>
        <v>0</v>
      </c>
      <c r="U18" s="42">
        <f t="shared" si="10"/>
        <v>0</v>
      </c>
      <c r="V18" s="42">
        <f t="shared" si="10"/>
        <v>0</v>
      </c>
      <c r="W18" s="42">
        <f t="shared" si="10"/>
        <v>0</v>
      </c>
      <c r="X18" s="42">
        <f t="shared" si="10"/>
        <v>0</v>
      </c>
      <c r="Y18" s="42">
        <f t="shared" si="10"/>
        <v>0</v>
      </c>
      <c r="Z18" s="42">
        <f t="shared" si="10"/>
        <v>0</v>
      </c>
      <c r="AA18" s="42">
        <f t="shared" si="10"/>
        <v>0</v>
      </c>
      <c r="AB18" s="42">
        <f t="shared" si="10"/>
        <v>0</v>
      </c>
      <c r="AC18" s="42">
        <f t="shared" si="10"/>
        <v>0</v>
      </c>
      <c r="AD18" s="42">
        <f t="shared" si="10"/>
        <v>0</v>
      </c>
      <c r="AE18" s="42">
        <f t="shared" si="10"/>
        <v>0</v>
      </c>
      <c r="AF18" s="42">
        <f t="shared" si="10"/>
        <v>0</v>
      </c>
      <c r="AG18" s="42">
        <f t="shared" si="10"/>
        <v>0</v>
      </c>
      <c r="AH18" s="42">
        <f t="shared" si="10"/>
        <v>0</v>
      </c>
      <c r="AI18" s="42">
        <f t="shared" si="10"/>
        <v>0</v>
      </c>
      <c r="AJ18" s="42">
        <f t="shared" si="10"/>
        <v>0</v>
      </c>
      <c r="AK18" s="42">
        <f t="shared" si="10"/>
        <v>0</v>
      </c>
      <c r="AL18" s="42">
        <f t="shared" si="10"/>
        <v>0</v>
      </c>
      <c r="AM18" s="42">
        <f t="shared" si="10"/>
        <v>0</v>
      </c>
      <c r="AN18" s="42">
        <f t="shared" si="10"/>
        <v>0</v>
      </c>
      <c r="AO18" s="42">
        <f t="shared" si="10"/>
        <v>0</v>
      </c>
      <c r="AP18" s="42">
        <f t="shared" si="10"/>
        <v>0</v>
      </c>
    </row>
    <row r="19" spans="1:42">
      <c r="F19" s="18" t="s">
        <v>100</v>
      </c>
      <c r="G19" s="83"/>
      <c r="H19" s="83"/>
      <c r="I19" s="83"/>
      <c r="J19" s="83"/>
      <c r="K19" s="122">
        <v>0.04</v>
      </c>
      <c r="L19" s="45">
        <f t="shared" ref="L19:AP19" si="11">IF(L16&gt;0,K19,0)</f>
        <v>0</v>
      </c>
      <c r="M19" s="45">
        <f t="shared" si="11"/>
        <v>0</v>
      </c>
      <c r="N19" s="45">
        <f t="shared" si="11"/>
        <v>0</v>
      </c>
      <c r="O19" s="45">
        <f t="shared" si="11"/>
        <v>0</v>
      </c>
      <c r="P19" s="45">
        <f t="shared" si="11"/>
        <v>0</v>
      </c>
      <c r="Q19" s="45">
        <f t="shared" si="11"/>
        <v>0</v>
      </c>
      <c r="R19" s="45">
        <f t="shared" si="11"/>
        <v>0</v>
      </c>
      <c r="S19" s="45">
        <f t="shared" si="11"/>
        <v>0</v>
      </c>
      <c r="T19" s="45">
        <f t="shared" si="11"/>
        <v>0</v>
      </c>
      <c r="U19" s="45">
        <f t="shared" si="11"/>
        <v>0</v>
      </c>
      <c r="V19" s="45">
        <f t="shared" si="11"/>
        <v>0</v>
      </c>
      <c r="W19" s="45">
        <f t="shared" si="11"/>
        <v>0</v>
      </c>
      <c r="X19" s="45">
        <f t="shared" si="11"/>
        <v>0</v>
      </c>
      <c r="Y19" s="45">
        <f t="shared" si="11"/>
        <v>0</v>
      </c>
      <c r="Z19" s="45">
        <f t="shared" si="11"/>
        <v>0</v>
      </c>
      <c r="AA19" s="45">
        <f t="shared" si="11"/>
        <v>0</v>
      </c>
      <c r="AB19" s="45">
        <f t="shared" si="11"/>
        <v>0</v>
      </c>
      <c r="AC19" s="45">
        <f t="shared" si="11"/>
        <v>0</v>
      </c>
      <c r="AD19" s="45">
        <f t="shared" si="11"/>
        <v>0</v>
      </c>
      <c r="AE19" s="45">
        <f t="shared" si="11"/>
        <v>0</v>
      </c>
      <c r="AF19" s="45">
        <f t="shared" si="11"/>
        <v>0</v>
      </c>
      <c r="AG19" s="45">
        <f t="shared" si="11"/>
        <v>0</v>
      </c>
      <c r="AH19" s="45">
        <f t="shared" si="11"/>
        <v>0</v>
      </c>
      <c r="AI19" s="45">
        <f t="shared" si="11"/>
        <v>0</v>
      </c>
      <c r="AJ19" s="45">
        <f t="shared" si="11"/>
        <v>0</v>
      </c>
      <c r="AK19" s="45">
        <f t="shared" si="11"/>
        <v>0</v>
      </c>
      <c r="AL19" s="45">
        <f t="shared" si="11"/>
        <v>0</v>
      </c>
      <c r="AM19" s="45">
        <f t="shared" si="11"/>
        <v>0</v>
      </c>
      <c r="AN19" s="45">
        <f t="shared" si="11"/>
        <v>0</v>
      </c>
      <c r="AO19" s="45">
        <f t="shared" si="11"/>
        <v>0</v>
      </c>
      <c r="AP19" s="45">
        <f t="shared" si="11"/>
        <v>0</v>
      </c>
    </row>
    <row r="20" spans="1:42">
      <c r="F20" s="18" t="s">
        <v>96</v>
      </c>
      <c r="G20" s="83"/>
      <c r="H20" s="83"/>
      <c r="I20" s="83"/>
      <c r="J20" s="83"/>
      <c r="K20" s="42">
        <f>K17*K19</f>
        <v>0</v>
      </c>
      <c r="L20" s="42">
        <f>L17*L19</f>
        <v>0</v>
      </c>
      <c r="M20" s="42">
        <f t="shared" ref="M20:AP20" si="12">M17*M19</f>
        <v>0</v>
      </c>
      <c r="N20" s="42">
        <f t="shared" si="12"/>
        <v>0</v>
      </c>
      <c r="O20" s="42">
        <f t="shared" si="12"/>
        <v>0</v>
      </c>
      <c r="P20" s="42">
        <f t="shared" si="12"/>
        <v>0</v>
      </c>
      <c r="Q20" s="42">
        <f t="shared" si="12"/>
        <v>0</v>
      </c>
      <c r="R20" s="42">
        <f t="shared" si="12"/>
        <v>0</v>
      </c>
      <c r="S20" s="42">
        <f t="shared" si="12"/>
        <v>0</v>
      </c>
      <c r="T20" s="42">
        <f t="shared" si="12"/>
        <v>0</v>
      </c>
      <c r="U20" s="42">
        <f t="shared" si="12"/>
        <v>0</v>
      </c>
      <c r="V20" s="42">
        <f t="shared" si="12"/>
        <v>0</v>
      </c>
      <c r="W20" s="42">
        <f t="shared" si="12"/>
        <v>0</v>
      </c>
      <c r="X20" s="42">
        <f t="shared" si="12"/>
        <v>0</v>
      </c>
      <c r="Y20" s="42">
        <f t="shared" si="12"/>
        <v>0</v>
      </c>
      <c r="Z20" s="42">
        <f t="shared" si="12"/>
        <v>0</v>
      </c>
      <c r="AA20" s="42">
        <f t="shared" si="12"/>
        <v>0</v>
      </c>
      <c r="AB20" s="42">
        <f t="shared" si="12"/>
        <v>0</v>
      </c>
      <c r="AC20" s="42">
        <f t="shared" si="12"/>
        <v>0</v>
      </c>
      <c r="AD20" s="42">
        <f t="shared" si="12"/>
        <v>0</v>
      </c>
      <c r="AE20" s="42">
        <f t="shared" si="12"/>
        <v>0</v>
      </c>
      <c r="AF20" s="42">
        <f t="shared" si="12"/>
        <v>0</v>
      </c>
      <c r="AG20" s="42">
        <f t="shared" si="12"/>
        <v>0</v>
      </c>
      <c r="AH20" s="42">
        <f t="shared" si="12"/>
        <v>0</v>
      </c>
      <c r="AI20" s="42">
        <f t="shared" si="12"/>
        <v>0</v>
      </c>
      <c r="AJ20" s="42">
        <f t="shared" si="12"/>
        <v>0</v>
      </c>
      <c r="AK20" s="42">
        <f t="shared" si="12"/>
        <v>0</v>
      </c>
      <c r="AL20" s="42">
        <f t="shared" si="12"/>
        <v>0</v>
      </c>
      <c r="AM20" s="42">
        <f t="shared" si="12"/>
        <v>0</v>
      </c>
      <c r="AN20" s="42">
        <f t="shared" si="12"/>
        <v>0</v>
      </c>
      <c r="AO20" s="42">
        <f t="shared" si="12"/>
        <v>0</v>
      </c>
      <c r="AP20" s="42">
        <f t="shared" si="12"/>
        <v>0</v>
      </c>
    </row>
    <row r="21" spans="1:42">
      <c r="F21" s="18" t="s">
        <v>97</v>
      </c>
      <c r="G21" s="83"/>
      <c r="H21" s="83"/>
      <c r="I21" s="83"/>
      <c r="J21" s="83"/>
      <c r="K21" s="42">
        <f>K18-K20</f>
        <v>0</v>
      </c>
      <c r="L21" s="42">
        <f>IF(L17&gt;L18-L20,L18-L20,L17)</f>
        <v>0</v>
      </c>
      <c r="M21" s="42">
        <f t="shared" ref="M21:AP21" si="13">IF(M17&gt;M18-M20,M18-M20,M17)</f>
        <v>0</v>
      </c>
      <c r="N21" s="42">
        <f t="shared" si="13"/>
        <v>0</v>
      </c>
      <c r="O21" s="42">
        <f t="shared" si="13"/>
        <v>0</v>
      </c>
      <c r="P21" s="42">
        <f t="shared" si="13"/>
        <v>0</v>
      </c>
      <c r="Q21" s="42">
        <f t="shared" si="13"/>
        <v>0</v>
      </c>
      <c r="R21" s="42">
        <f t="shared" si="13"/>
        <v>0</v>
      </c>
      <c r="S21" s="42">
        <f t="shared" si="13"/>
        <v>0</v>
      </c>
      <c r="T21" s="42">
        <f t="shared" si="13"/>
        <v>0</v>
      </c>
      <c r="U21" s="42">
        <f t="shared" si="13"/>
        <v>0</v>
      </c>
      <c r="V21" s="42">
        <f t="shared" si="13"/>
        <v>0</v>
      </c>
      <c r="W21" s="42">
        <f t="shared" si="13"/>
        <v>0</v>
      </c>
      <c r="X21" s="42">
        <f t="shared" si="13"/>
        <v>0</v>
      </c>
      <c r="Y21" s="42">
        <f t="shared" si="13"/>
        <v>0</v>
      </c>
      <c r="Z21" s="42">
        <f t="shared" si="13"/>
        <v>0</v>
      </c>
      <c r="AA21" s="42">
        <f t="shared" si="13"/>
        <v>0</v>
      </c>
      <c r="AB21" s="42">
        <f t="shared" si="13"/>
        <v>0</v>
      </c>
      <c r="AC21" s="42">
        <f t="shared" si="13"/>
        <v>0</v>
      </c>
      <c r="AD21" s="42">
        <f t="shared" si="13"/>
        <v>0</v>
      </c>
      <c r="AE21" s="42">
        <f t="shared" si="13"/>
        <v>0</v>
      </c>
      <c r="AF21" s="42">
        <f t="shared" si="13"/>
        <v>0</v>
      </c>
      <c r="AG21" s="42">
        <f t="shared" si="13"/>
        <v>0</v>
      </c>
      <c r="AH21" s="42">
        <f t="shared" si="13"/>
        <v>0</v>
      </c>
      <c r="AI21" s="42">
        <f t="shared" si="13"/>
        <v>0</v>
      </c>
      <c r="AJ21" s="42">
        <f t="shared" si="13"/>
        <v>0</v>
      </c>
      <c r="AK21" s="42">
        <f t="shared" si="13"/>
        <v>0</v>
      </c>
      <c r="AL21" s="42">
        <f t="shared" si="13"/>
        <v>0</v>
      </c>
      <c r="AM21" s="42">
        <f t="shared" si="13"/>
        <v>0</v>
      </c>
      <c r="AN21" s="42">
        <f t="shared" si="13"/>
        <v>0</v>
      </c>
      <c r="AO21" s="42">
        <f t="shared" si="13"/>
        <v>0</v>
      </c>
      <c r="AP21" s="42">
        <f t="shared" si="13"/>
        <v>0</v>
      </c>
    </row>
    <row r="22" spans="1:42">
      <c r="B22" s="38"/>
      <c r="C22" s="38"/>
      <c r="D22" s="38"/>
      <c r="E22" s="38"/>
      <c r="F22" s="38"/>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row>
    <row r="23" spans="1:42">
      <c r="B23" s="18" t="s">
        <v>24</v>
      </c>
      <c r="C23" s="18" t="s">
        <v>25</v>
      </c>
      <c r="D23" s="18" t="s">
        <v>26</v>
      </c>
      <c r="E23" s="119"/>
      <c r="F23" s="41" t="s">
        <v>101</v>
      </c>
      <c r="G23" s="42">
        <f>G8+G17</f>
        <v>650000</v>
      </c>
      <c r="H23" s="42">
        <f>H8+H17</f>
        <v>650000</v>
      </c>
      <c r="I23" s="42">
        <f>I8+I17</f>
        <v>650000</v>
      </c>
      <c r="J23" s="42">
        <f>J8+J17</f>
        <v>650000</v>
      </c>
      <c r="K23" s="42">
        <f>K8+K18</f>
        <v>650000</v>
      </c>
      <c r="L23" s="42">
        <f>L8+L18</f>
        <v>650000</v>
      </c>
      <c r="M23" s="42">
        <f t="shared" ref="M23:AP23" si="14">M8+M17</f>
        <v>650000</v>
      </c>
      <c r="N23" s="42">
        <f t="shared" si="14"/>
        <v>650000</v>
      </c>
      <c r="O23" s="42">
        <f t="shared" si="14"/>
        <v>650000</v>
      </c>
      <c r="P23" s="42">
        <f t="shared" si="14"/>
        <v>650000</v>
      </c>
      <c r="Q23" s="42">
        <f t="shared" si="14"/>
        <v>650000</v>
      </c>
      <c r="R23" s="42">
        <f t="shared" si="14"/>
        <v>650000</v>
      </c>
      <c r="S23" s="42">
        <f t="shared" si="14"/>
        <v>650000</v>
      </c>
      <c r="T23" s="42">
        <f t="shared" si="14"/>
        <v>644990.0368797034</v>
      </c>
      <c r="U23" s="42">
        <f t="shared" si="14"/>
        <v>639963.3738823391</v>
      </c>
      <c r="V23" s="42">
        <f t="shared" si="14"/>
        <v>634919.95534165029</v>
      </c>
      <c r="W23" s="42">
        <f t="shared" si="14"/>
        <v>629859.72540582588</v>
      </c>
      <c r="X23" s="42">
        <f t="shared" si="14"/>
        <v>624782.62803688203</v>
      </c>
      <c r="Y23" s="42">
        <f t="shared" si="14"/>
        <v>619688.60701004171</v>
      </c>
      <c r="Z23" s="42">
        <f t="shared" si="14"/>
        <v>614577.60591311194</v>
      </c>
      <c r="AA23" s="42">
        <f t="shared" si="14"/>
        <v>609449.56814585906</v>
      </c>
      <c r="AB23" s="42">
        <f t="shared" si="14"/>
        <v>604304.43691938196</v>
      </c>
      <c r="AC23" s="42">
        <f t="shared" si="14"/>
        <v>599142.15525548335</v>
      </c>
      <c r="AD23" s="42">
        <f t="shared" si="14"/>
        <v>593962.6659860384</v>
      </c>
      <c r="AE23" s="42">
        <f t="shared" si="14"/>
        <v>588765.91175236192</v>
      </c>
      <c r="AF23" s="42">
        <f t="shared" si="14"/>
        <v>583551.83500457322</v>
      </c>
      <c r="AG23" s="42">
        <f t="shared" si="14"/>
        <v>578320.37800095859</v>
      </c>
      <c r="AH23" s="42">
        <f t="shared" si="14"/>
        <v>573071.48280733183</v>
      </c>
      <c r="AI23" s="42">
        <f t="shared" si="14"/>
        <v>567805.09129639308</v>
      </c>
      <c r="AJ23" s="42">
        <f t="shared" si="14"/>
        <v>562521.14514708449</v>
      </c>
      <c r="AK23" s="42">
        <f t="shared" si="14"/>
        <v>557219.58584394481</v>
      </c>
      <c r="AL23" s="42">
        <f t="shared" si="14"/>
        <v>551900.35467646131</v>
      </c>
      <c r="AM23" s="42">
        <f t="shared" si="14"/>
        <v>546563.39273841958</v>
      </c>
      <c r="AN23" s="42">
        <f t="shared" si="14"/>
        <v>541208.64092725108</v>
      </c>
      <c r="AO23" s="42">
        <f t="shared" si="14"/>
        <v>535836.03994337865</v>
      </c>
      <c r="AP23" s="42">
        <f t="shared" si="14"/>
        <v>530445.53028955997</v>
      </c>
    </row>
    <row r="24" spans="1:42">
      <c r="A24" s="14" t="s">
        <v>314</v>
      </c>
      <c r="B24" s="22">
        <f>SUM(G24:R24)</f>
        <v>26000.000000000004</v>
      </c>
      <c r="C24" s="22">
        <f>SUM(S24:AD24)</f>
        <v>24885.469195921061</v>
      </c>
      <c r="D24" s="22">
        <f>SUM(AE24:AP24)</f>
        <v>22390.697961425725</v>
      </c>
      <c r="E24" s="119"/>
      <c r="F24" s="41" t="s">
        <v>102</v>
      </c>
      <c r="G24" s="42">
        <f t="shared" ref="G24:AP25" si="15">G11+G20</f>
        <v>2166.6666666666665</v>
      </c>
      <c r="H24" s="42">
        <f t="shared" si="15"/>
        <v>2166.6666666666665</v>
      </c>
      <c r="I24" s="42">
        <f t="shared" si="15"/>
        <v>2166.6666666666665</v>
      </c>
      <c r="J24" s="42">
        <f t="shared" si="15"/>
        <v>2166.6666666666665</v>
      </c>
      <c r="K24" s="42">
        <f t="shared" si="15"/>
        <v>2166.6666666666665</v>
      </c>
      <c r="L24" s="42">
        <f t="shared" si="15"/>
        <v>2166.6666666666665</v>
      </c>
      <c r="M24" s="42">
        <f t="shared" si="15"/>
        <v>2166.6666666666665</v>
      </c>
      <c r="N24" s="42">
        <f t="shared" si="15"/>
        <v>2166.6666666666665</v>
      </c>
      <c r="O24" s="42">
        <f t="shared" si="15"/>
        <v>2166.6666666666665</v>
      </c>
      <c r="P24" s="42">
        <f t="shared" si="15"/>
        <v>2166.6666666666665</v>
      </c>
      <c r="Q24" s="42">
        <f t="shared" si="15"/>
        <v>2166.6666666666665</v>
      </c>
      <c r="R24" s="42">
        <f t="shared" si="15"/>
        <v>2166.6666666666665</v>
      </c>
      <c r="S24" s="42">
        <f t="shared" si="15"/>
        <v>2166.6666666666665</v>
      </c>
      <c r="T24" s="42">
        <f t="shared" si="15"/>
        <v>2149.9667895990115</v>
      </c>
      <c r="U24" s="42">
        <f t="shared" si="15"/>
        <v>2133.211246274464</v>
      </c>
      <c r="V24" s="42">
        <f t="shared" si="15"/>
        <v>2116.3998511388345</v>
      </c>
      <c r="W24" s="42">
        <f t="shared" si="15"/>
        <v>2099.5324180194198</v>
      </c>
      <c r="X24" s="42">
        <f t="shared" si="15"/>
        <v>2082.6087601229401</v>
      </c>
      <c r="Y24" s="42">
        <f t="shared" si="15"/>
        <v>2065.6286900334721</v>
      </c>
      <c r="Z24" s="42">
        <f t="shared" si="15"/>
        <v>2048.5920197103733</v>
      </c>
      <c r="AA24" s="42">
        <f t="shared" si="15"/>
        <v>2031.4985604861968</v>
      </c>
      <c r="AB24" s="42">
        <f t="shared" si="15"/>
        <v>2014.3481230646066</v>
      </c>
      <c r="AC24" s="42">
        <f t="shared" si="15"/>
        <v>1997.1405175182779</v>
      </c>
      <c r="AD24" s="42">
        <f t="shared" si="15"/>
        <v>1979.8755532867947</v>
      </c>
      <c r="AE24" s="42">
        <f t="shared" si="15"/>
        <v>1962.5530391745397</v>
      </c>
      <c r="AF24" s="42">
        <f t="shared" si="15"/>
        <v>1945.1727833485775</v>
      </c>
      <c r="AG24" s="42">
        <f t="shared" si="15"/>
        <v>1927.7345933365286</v>
      </c>
      <c r="AH24" s="42">
        <f t="shared" si="15"/>
        <v>1910.2382760244393</v>
      </c>
      <c r="AI24" s="42">
        <f t="shared" si="15"/>
        <v>1892.6836376546437</v>
      </c>
      <c r="AJ24" s="42">
        <f t="shared" si="15"/>
        <v>1875.0704838236149</v>
      </c>
      <c r="AK24" s="42">
        <f t="shared" si="15"/>
        <v>1857.398619479816</v>
      </c>
      <c r="AL24" s="42">
        <f t="shared" si="15"/>
        <v>1839.6678489215376</v>
      </c>
      <c r="AM24" s="42">
        <f t="shared" si="15"/>
        <v>1821.877975794732</v>
      </c>
      <c r="AN24" s="42">
        <f t="shared" si="15"/>
        <v>1804.0288030908368</v>
      </c>
      <c r="AO24" s="42">
        <f t="shared" si="15"/>
        <v>1786.1201331445955</v>
      </c>
      <c r="AP24" s="42">
        <f t="shared" si="15"/>
        <v>1768.1517676318665</v>
      </c>
    </row>
    <row r="25" spans="1:42">
      <c r="B25" s="119"/>
      <c r="C25" s="119"/>
      <c r="D25" s="119"/>
      <c r="E25" s="119"/>
      <c r="F25" s="41" t="s">
        <v>103</v>
      </c>
      <c r="G25" s="42">
        <f t="shared" si="15"/>
        <v>0</v>
      </c>
      <c r="H25" s="42">
        <f t="shared" si="15"/>
        <v>0</v>
      </c>
      <c r="I25" s="42">
        <f t="shared" si="15"/>
        <v>0</v>
      </c>
      <c r="J25" s="42">
        <f t="shared" si="15"/>
        <v>0</v>
      </c>
      <c r="K25" s="42">
        <f t="shared" si="15"/>
        <v>0</v>
      </c>
      <c r="L25" s="42">
        <f t="shared" si="15"/>
        <v>0</v>
      </c>
      <c r="M25" s="42">
        <f t="shared" si="15"/>
        <v>0</v>
      </c>
      <c r="N25" s="42">
        <f t="shared" si="15"/>
        <v>0</v>
      </c>
      <c r="O25" s="42">
        <f t="shared" si="15"/>
        <v>0</v>
      </c>
      <c r="P25" s="42">
        <f t="shared" si="15"/>
        <v>0</v>
      </c>
      <c r="Q25" s="42">
        <f t="shared" si="15"/>
        <v>0</v>
      </c>
      <c r="R25" s="42">
        <f t="shared" si="15"/>
        <v>0</v>
      </c>
      <c r="S25" s="42">
        <f t="shared" si="15"/>
        <v>5009.9631202965866</v>
      </c>
      <c r="T25" s="42">
        <f t="shared" si="15"/>
        <v>5026.6629973642421</v>
      </c>
      <c r="U25" s="42">
        <f t="shared" si="15"/>
        <v>5043.41854068879</v>
      </c>
      <c r="V25" s="42">
        <f t="shared" si="15"/>
        <v>5060.229935824419</v>
      </c>
      <c r="W25" s="42">
        <f t="shared" si="15"/>
        <v>5077.0973689438342</v>
      </c>
      <c r="X25" s="42">
        <f t="shared" si="15"/>
        <v>5094.0210268403134</v>
      </c>
      <c r="Y25" s="42">
        <f t="shared" si="15"/>
        <v>5111.0010969297819</v>
      </c>
      <c r="Z25" s="42">
        <f t="shared" si="15"/>
        <v>5128.0377672528803</v>
      </c>
      <c r="AA25" s="42">
        <f t="shared" si="15"/>
        <v>5145.1312264770568</v>
      </c>
      <c r="AB25" s="42">
        <f t="shared" si="15"/>
        <v>5162.2816638986469</v>
      </c>
      <c r="AC25" s="42">
        <f t="shared" si="15"/>
        <v>5179.4892694449754</v>
      </c>
      <c r="AD25" s="42">
        <f t="shared" si="15"/>
        <v>5196.7542336764591</v>
      </c>
      <c r="AE25" s="42">
        <f t="shared" si="15"/>
        <v>5214.0767477887139</v>
      </c>
      <c r="AF25" s="42">
        <f t="shared" si="15"/>
        <v>5231.4570036146761</v>
      </c>
      <c r="AG25" s="42">
        <f t="shared" si="15"/>
        <v>5248.8951936267249</v>
      </c>
      <c r="AH25" s="42">
        <f t="shared" si="15"/>
        <v>5266.3915109388145</v>
      </c>
      <c r="AI25" s="42">
        <f t="shared" si="15"/>
        <v>5283.9461493086101</v>
      </c>
      <c r="AJ25" s="42">
        <f t="shared" si="15"/>
        <v>5301.5593031396384</v>
      </c>
      <c r="AK25" s="42">
        <f t="shared" si="15"/>
        <v>5319.2311674834373</v>
      </c>
      <c r="AL25" s="42">
        <f t="shared" si="15"/>
        <v>5336.9619380417162</v>
      </c>
      <c r="AM25" s="42">
        <f t="shared" si="15"/>
        <v>5354.7518111685213</v>
      </c>
      <c r="AN25" s="42">
        <f t="shared" si="15"/>
        <v>5372.6009838724167</v>
      </c>
      <c r="AO25" s="42">
        <f t="shared" si="15"/>
        <v>5390.5096538186581</v>
      </c>
      <c r="AP25" s="42">
        <f t="shared" si="15"/>
        <v>5408.4780193313873</v>
      </c>
    </row>
    <row r="26" spans="1:42">
      <c r="A26" s="38"/>
      <c r="B26" s="38"/>
      <c r="C26" s="38"/>
      <c r="D26" s="38"/>
      <c r="E26" s="38"/>
      <c r="F26" s="38"/>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row>
    <row r="27" spans="1:42">
      <c r="A27" s="19" t="s">
        <v>104</v>
      </c>
      <c r="B27" s="19"/>
      <c r="C27" s="19"/>
      <c r="D27" s="19"/>
      <c r="E27" s="19"/>
      <c r="F27" s="17"/>
    </row>
    <row r="28" spans="1:42">
      <c r="A28" s="38"/>
      <c r="B28" s="38"/>
      <c r="C28" s="38"/>
      <c r="D28" s="38"/>
      <c r="E28" s="38"/>
      <c r="F28" s="38"/>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row>
    <row r="29" spans="1:42">
      <c r="B29" s="119"/>
      <c r="C29" s="119"/>
      <c r="D29" s="119"/>
      <c r="E29" s="119"/>
      <c r="F29" s="41" t="s">
        <v>104</v>
      </c>
      <c r="G29" s="129">
        <f>Cover!C16</f>
        <v>25000</v>
      </c>
      <c r="H29" s="47">
        <f>G29-G31+G32+G33</f>
        <v>25000</v>
      </c>
      <c r="I29" s="47">
        <f t="shared" ref="I29:R29" si="16">H29-H31+H32+H33</f>
        <v>25000</v>
      </c>
      <c r="J29" s="47">
        <f t="shared" si="16"/>
        <v>25000</v>
      </c>
      <c r="K29" s="47">
        <f t="shared" si="16"/>
        <v>25000</v>
      </c>
      <c r="L29" s="47">
        <f t="shared" si="16"/>
        <v>25000</v>
      </c>
      <c r="M29" s="47">
        <f t="shared" si="16"/>
        <v>25000</v>
      </c>
      <c r="N29" s="47">
        <f t="shared" si="16"/>
        <v>25000</v>
      </c>
      <c r="O29" s="47">
        <f t="shared" si="16"/>
        <v>25000</v>
      </c>
      <c r="P29" s="47">
        <f t="shared" si="16"/>
        <v>25000</v>
      </c>
      <c r="Q29" s="47">
        <f t="shared" si="16"/>
        <v>25000</v>
      </c>
      <c r="R29" s="42">
        <f t="shared" si="16"/>
        <v>25000</v>
      </c>
      <c r="S29" s="42">
        <f>R29-R31+R32+R33</f>
        <v>-321122.40756666672</v>
      </c>
      <c r="T29" s="42">
        <f t="shared" ref="T29:AP29" si="17">S29-S31+S32+S33</f>
        <v>-321122.40756666672</v>
      </c>
      <c r="U29" s="42">
        <f t="shared" si="17"/>
        <v>-321122.40756666672</v>
      </c>
      <c r="V29" s="42">
        <f t="shared" si="17"/>
        <v>-321122.40756666672</v>
      </c>
      <c r="W29" s="42">
        <f t="shared" si="17"/>
        <v>-321122.40756666672</v>
      </c>
      <c r="X29" s="42">
        <f t="shared" si="17"/>
        <v>-321122.40756666672</v>
      </c>
      <c r="Y29" s="42">
        <f t="shared" si="17"/>
        <v>-321122.40756666672</v>
      </c>
      <c r="Z29" s="42">
        <f t="shared" si="17"/>
        <v>-321122.40756666672</v>
      </c>
      <c r="AA29" s="42">
        <f t="shared" si="17"/>
        <v>-321122.40756666672</v>
      </c>
      <c r="AB29" s="42">
        <f t="shared" si="17"/>
        <v>-321122.40756666672</v>
      </c>
      <c r="AC29" s="42">
        <f t="shared" si="17"/>
        <v>-321122.40756666672</v>
      </c>
      <c r="AD29" s="42">
        <f t="shared" si="17"/>
        <v>-321122.40756666672</v>
      </c>
      <c r="AE29" s="42">
        <f t="shared" si="17"/>
        <v>-246762.06552925415</v>
      </c>
      <c r="AF29" s="42">
        <f t="shared" si="17"/>
        <v>-246762.06552925415</v>
      </c>
      <c r="AG29" s="42">
        <f t="shared" si="17"/>
        <v>-246762.06552925415</v>
      </c>
      <c r="AH29" s="42">
        <f t="shared" si="17"/>
        <v>-246762.06552925415</v>
      </c>
      <c r="AI29" s="42">
        <f t="shared" si="17"/>
        <v>-246762.06552925415</v>
      </c>
      <c r="AJ29" s="42">
        <f t="shared" si="17"/>
        <v>-246762.06552925415</v>
      </c>
      <c r="AK29" s="42">
        <f t="shared" si="17"/>
        <v>-246762.06552925415</v>
      </c>
      <c r="AL29" s="42">
        <f t="shared" si="17"/>
        <v>-246762.06552925415</v>
      </c>
      <c r="AM29" s="42">
        <f t="shared" si="17"/>
        <v>-246762.06552925415</v>
      </c>
      <c r="AN29" s="42">
        <f t="shared" si="17"/>
        <v>-246762.06552925415</v>
      </c>
      <c r="AO29" s="42">
        <f t="shared" si="17"/>
        <v>-246762.06552925415</v>
      </c>
      <c r="AP29" s="42">
        <f t="shared" si="17"/>
        <v>-246762.06552925415</v>
      </c>
    </row>
    <row r="30" spans="1:42">
      <c r="B30" s="38"/>
      <c r="C30" s="38"/>
      <c r="D30" s="38"/>
      <c r="E30" s="38"/>
      <c r="F30" s="43" t="s">
        <v>105</v>
      </c>
      <c r="G30" s="83"/>
      <c r="H30" s="83"/>
      <c r="I30" s="83"/>
      <c r="J30" s="83"/>
      <c r="K30" s="83"/>
      <c r="L30" s="83"/>
      <c r="M30" s="83"/>
      <c r="N30" s="83"/>
      <c r="O30" s="83"/>
      <c r="P30" s="83"/>
      <c r="Q30" s="83"/>
      <c r="R30" s="128">
        <v>0</v>
      </c>
      <c r="S30" s="83"/>
      <c r="T30" s="83"/>
      <c r="U30" s="83"/>
      <c r="V30" s="83"/>
      <c r="W30" s="83"/>
      <c r="X30" s="83"/>
      <c r="Y30" s="83"/>
      <c r="Z30" s="83"/>
      <c r="AA30" s="83"/>
      <c r="AB30" s="83"/>
      <c r="AC30" s="83"/>
      <c r="AD30" s="128">
        <v>0</v>
      </c>
      <c r="AE30" s="83"/>
      <c r="AF30" s="83"/>
      <c r="AG30" s="83"/>
      <c r="AH30" s="83"/>
      <c r="AI30" s="83"/>
      <c r="AJ30" s="83"/>
      <c r="AK30" s="83"/>
      <c r="AL30" s="83"/>
      <c r="AM30" s="83"/>
      <c r="AN30" s="83"/>
      <c r="AO30" s="83"/>
      <c r="AP30" s="128">
        <v>0</v>
      </c>
    </row>
    <row r="31" spans="1:42">
      <c r="B31" s="44"/>
      <c r="C31" s="44"/>
      <c r="D31" s="44"/>
      <c r="E31" s="44"/>
      <c r="F31" s="46" t="s">
        <v>106</v>
      </c>
      <c r="G31" s="83"/>
      <c r="H31" s="83"/>
      <c r="I31" s="83"/>
      <c r="J31" s="83"/>
      <c r="K31" s="83"/>
      <c r="L31" s="83"/>
      <c r="M31" s="83"/>
      <c r="N31" s="83"/>
      <c r="O31" s="83"/>
      <c r="P31" s="83"/>
      <c r="Q31" s="83"/>
      <c r="R31" s="42">
        <f>R30*'Umsatz- und Ertragsvorschau'!N25</f>
        <v>0</v>
      </c>
      <c r="S31" s="83"/>
      <c r="T31" s="83"/>
      <c r="U31" s="83"/>
      <c r="V31" s="83"/>
      <c r="W31" s="83"/>
      <c r="X31" s="83"/>
      <c r="Y31" s="83"/>
      <c r="Z31" s="83"/>
      <c r="AA31" s="83"/>
      <c r="AB31" s="83"/>
      <c r="AC31" s="83"/>
      <c r="AD31" s="42">
        <f>AD30*'Umsatz- und Ertragsvorschau'!N51</f>
        <v>0</v>
      </c>
      <c r="AE31" s="83"/>
      <c r="AF31" s="83"/>
      <c r="AG31" s="83"/>
      <c r="AH31" s="83"/>
      <c r="AI31" s="83"/>
      <c r="AJ31" s="83"/>
      <c r="AK31" s="83"/>
      <c r="AL31" s="83"/>
      <c r="AM31" s="83"/>
      <c r="AN31" s="83"/>
      <c r="AO31" s="83"/>
      <c r="AP31" s="42">
        <f>AP30*'Umsatz- und Ertragsvorschau'!N77</f>
        <v>0</v>
      </c>
    </row>
    <row r="32" spans="1:42">
      <c r="B32" s="38"/>
      <c r="C32" s="38"/>
      <c r="D32" s="38"/>
      <c r="E32" s="38"/>
      <c r="F32" s="43" t="s">
        <v>107</v>
      </c>
      <c r="G32" s="83"/>
      <c r="H32" s="83"/>
      <c r="I32" s="83"/>
      <c r="J32" s="83"/>
      <c r="K32" s="83"/>
      <c r="L32" s="83"/>
      <c r="M32" s="83"/>
      <c r="N32" s="83"/>
      <c r="O32" s="83"/>
      <c r="P32" s="83"/>
      <c r="Q32" s="83"/>
      <c r="R32" s="42">
        <f>'Umsatz- und Ertragsvorschau'!N25-R31</f>
        <v>-346122.40756666672</v>
      </c>
      <c r="S32" s="83"/>
      <c r="T32" s="83"/>
      <c r="U32" s="83"/>
      <c r="V32" s="83"/>
      <c r="W32" s="83"/>
      <c r="X32" s="83"/>
      <c r="Y32" s="83"/>
      <c r="Z32" s="83"/>
      <c r="AA32" s="83"/>
      <c r="AB32" s="83"/>
      <c r="AC32" s="83"/>
      <c r="AD32" s="42">
        <f>'Umsatz- und Ertragsvorschau'!N51-AD31</f>
        <v>74360.342037412571</v>
      </c>
      <c r="AE32" s="83"/>
      <c r="AF32" s="83"/>
      <c r="AG32" s="83"/>
      <c r="AH32" s="83"/>
      <c r="AI32" s="83"/>
      <c r="AJ32" s="83"/>
      <c r="AK32" s="83"/>
      <c r="AL32" s="83"/>
      <c r="AM32" s="83"/>
      <c r="AN32" s="83"/>
      <c r="AO32" s="83"/>
      <c r="AP32" s="42">
        <f>'Umsatz- und Ertragsvorschau'!N77-AP31</f>
        <v>961265.49280524207</v>
      </c>
    </row>
    <row r="33" spans="1:42">
      <c r="B33" s="44"/>
      <c r="C33" s="44"/>
      <c r="D33" s="44"/>
      <c r="E33" s="44"/>
      <c r="F33" s="46" t="s">
        <v>108</v>
      </c>
      <c r="G33" s="121">
        <v>0</v>
      </c>
      <c r="H33" s="121">
        <v>0</v>
      </c>
      <c r="I33" s="121">
        <v>0</v>
      </c>
      <c r="J33" s="121">
        <v>0</v>
      </c>
      <c r="K33" s="121">
        <v>0</v>
      </c>
      <c r="L33" s="121">
        <v>0</v>
      </c>
      <c r="M33" s="121">
        <v>0</v>
      </c>
      <c r="N33" s="121">
        <v>0</v>
      </c>
      <c r="O33" s="121">
        <v>0</v>
      </c>
      <c r="P33" s="121">
        <v>0</v>
      </c>
      <c r="Q33" s="121">
        <v>0</v>
      </c>
      <c r="R33" s="121">
        <v>0</v>
      </c>
      <c r="S33" s="121">
        <v>0</v>
      </c>
      <c r="T33" s="121">
        <v>0</v>
      </c>
      <c r="U33" s="121">
        <v>0</v>
      </c>
      <c r="V33" s="121">
        <v>0</v>
      </c>
      <c r="W33" s="121">
        <v>0</v>
      </c>
      <c r="X33" s="121">
        <v>0</v>
      </c>
      <c r="Y33" s="121">
        <v>0</v>
      </c>
      <c r="Z33" s="121">
        <v>0</v>
      </c>
      <c r="AA33" s="121">
        <v>0</v>
      </c>
      <c r="AB33" s="121">
        <v>0</v>
      </c>
      <c r="AC33" s="121">
        <v>0</v>
      </c>
      <c r="AD33" s="121">
        <v>0</v>
      </c>
      <c r="AE33" s="121">
        <v>0</v>
      </c>
      <c r="AF33" s="121">
        <v>0</v>
      </c>
      <c r="AG33" s="121">
        <v>0</v>
      </c>
      <c r="AH33" s="121">
        <v>0</v>
      </c>
      <c r="AI33" s="121">
        <v>0</v>
      </c>
      <c r="AJ33" s="121">
        <v>0</v>
      </c>
      <c r="AK33" s="121">
        <v>0</v>
      </c>
      <c r="AL33" s="121">
        <v>0</v>
      </c>
      <c r="AM33" s="121">
        <v>0</v>
      </c>
      <c r="AN33" s="121">
        <v>0</v>
      </c>
      <c r="AO33" s="121">
        <v>0</v>
      </c>
      <c r="AP33" s="121">
        <v>0</v>
      </c>
    </row>
    <row r="34" spans="1:42">
      <c r="B34" s="26"/>
      <c r="C34" s="26"/>
      <c r="D34" s="26"/>
      <c r="E34" s="26"/>
      <c r="F34" s="26" t="s">
        <v>109</v>
      </c>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row>
    <row r="35" spans="1:42">
      <c r="A35" s="26"/>
      <c r="B35" s="26"/>
      <c r="C35" s="26"/>
      <c r="D35" s="26"/>
      <c r="E35" s="26"/>
      <c r="F35" s="26"/>
    </row>
    <row r="37" spans="1:42" ht="30" customHeight="1">
      <c r="B37" s="133" t="s">
        <v>320</v>
      </c>
      <c r="C37" s="133"/>
      <c r="D37" s="133"/>
    </row>
    <row r="39" spans="1:42" s="74" customFormat="1"/>
    <row r="40" spans="1:42" s="75" customFormat="1">
      <c r="A40" s="75" t="s">
        <v>197</v>
      </c>
      <c r="B40" s="76">
        <v>1</v>
      </c>
      <c r="C40" s="76">
        <v>2</v>
      </c>
      <c r="D40" s="76">
        <v>3</v>
      </c>
      <c r="E40" s="76">
        <v>4</v>
      </c>
      <c r="F40" s="76">
        <v>5</v>
      </c>
      <c r="G40" s="76">
        <v>6</v>
      </c>
      <c r="H40" s="76">
        <v>7</v>
      </c>
      <c r="I40" s="76">
        <v>8</v>
      </c>
      <c r="J40" s="76">
        <v>9</v>
      </c>
      <c r="K40" s="76"/>
    </row>
    <row r="41" spans="1:42" s="75" customFormat="1">
      <c r="A41" s="75" t="s">
        <v>196</v>
      </c>
      <c r="B41" s="76" t="s">
        <v>195</v>
      </c>
      <c r="C41" s="76" t="s">
        <v>17</v>
      </c>
      <c r="D41" s="76" t="s">
        <v>31</v>
      </c>
      <c r="E41" s="76" t="s">
        <v>49</v>
      </c>
      <c r="F41" s="76" t="s">
        <v>80</v>
      </c>
      <c r="G41" s="76" t="s">
        <v>271</v>
      </c>
      <c r="H41" s="76" t="s">
        <v>272</v>
      </c>
      <c r="I41" s="76" t="s">
        <v>110</v>
      </c>
      <c r="J41" s="76" t="s">
        <v>273</v>
      </c>
      <c r="K41" s="76"/>
    </row>
    <row r="42" spans="1:42" s="75" customFormat="1">
      <c r="A42" s="75" t="s">
        <v>238</v>
      </c>
      <c r="B42" s="85"/>
      <c r="C42" s="85"/>
      <c r="D42" s="85"/>
      <c r="E42" s="85"/>
      <c r="F42" s="85"/>
      <c r="G42" s="85"/>
      <c r="H42" s="85"/>
      <c r="I42" s="85"/>
    </row>
    <row r="43" spans="1:42" s="75" customFormat="1"/>
  </sheetData>
  <mergeCells count="4">
    <mergeCell ref="B37:D37"/>
    <mergeCell ref="G1:R1"/>
    <mergeCell ref="S1:AD1"/>
    <mergeCell ref="AE1:AP1"/>
  </mergeCells>
  <hyperlinks>
    <hyperlink ref="B37:D37" location="Grafiken!A1" display="'-&gt; Zum Final Check" xr:uid="{50400636-E160-4E7B-A968-E15FFF2DE2D1}"/>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97DB1-D0A3-4456-A4B5-1C57744E14A5}">
  <sheetPr>
    <tabColor rgb="FF00B050"/>
  </sheetPr>
  <dimension ref="B1:L22"/>
  <sheetViews>
    <sheetView showGridLines="0" workbookViewId="0"/>
  </sheetViews>
  <sheetFormatPr baseColWidth="10" defaultColWidth="11.5" defaultRowHeight="15"/>
  <cols>
    <col min="1" max="1" width="2.6640625" style="13" customWidth="1"/>
    <col min="2" max="2" width="15.83203125" style="13" customWidth="1"/>
    <col min="3" max="12" width="13.6640625" style="13" customWidth="1"/>
    <col min="13" max="16384" width="11.5" style="13"/>
  </cols>
  <sheetData>
    <row r="1" spans="2:12" s="74" customFormat="1"/>
    <row r="2" spans="2:12" s="75" customFormat="1">
      <c r="B2" s="75" t="s">
        <v>197</v>
      </c>
      <c r="C2" s="76">
        <v>1</v>
      </c>
      <c r="D2" s="76">
        <v>2</v>
      </c>
      <c r="E2" s="76">
        <v>3</v>
      </c>
      <c r="F2" s="76">
        <v>4</v>
      </c>
      <c r="G2" s="76">
        <v>5</v>
      </c>
      <c r="H2" s="76">
        <v>6</v>
      </c>
      <c r="I2" s="76">
        <v>7</v>
      </c>
      <c r="J2" s="76">
        <v>8</v>
      </c>
      <c r="K2" s="76">
        <v>9</v>
      </c>
      <c r="L2" s="76"/>
    </row>
    <row r="3" spans="2:12" s="75" customFormat="1">
      <c r="B3" s="75" t="s">
        <v>196</v>
      </c>
      <c r="C3" s="76" t="s">
        <v>195</v>
      </c>
      <c r="D3" s="76" t="s">
        <v>17</v>
      </c>
      <c r="E3" s="76" t="s">
        <v>31</v>
      </c>
      <c r="F3" s="76" t="s">
        <v>49</v>
      </c>
      <c r="G3" s="76" t="s">
        <v>80</v>
      </c>
      <c r="H3" s="76" t="s">
        <v>271</v>
      </c>
      <c r="I3" s="76" t="s">
        <v>272</v>
      </c>
      <c r="J3" s="76" t="s">
        <v>110</v>
      </c>
      <c r="K3" s="76" t="s">
        <v>273</v>
      </c>
      <c r="L3" s="76"/>
    </row>
    <row r="4" spans="2:12" s="75" customFormat="1">
      <c r="B4" s="75" t="s">
        <v>238</v>
      </c>
      <c r="C4" s="85"/>
      <c r="D4" s="85"/>
      <c r="E4" s="85"/>
      <c r="F4" s="85"/>
      <c r="G4" s="85"/>
    </row>
    <row r="5" spans="2:12" s="75" customFormat="1"/>
    <row r="7" spans="2:12" ht="28">
      <c r="B7" s="1" t="s">
        <v>183</v>
      </c>
    </row>
    <row r="9" spans="2:12">
      <c r="B9" s="13" t="s">
        <v>278</v>
      </c>
      <c r="C9" s="13" t="s">
        <v>279</v>
      </c>
    </row>
    <row r="10" spans="2:12">
      <c r="C10" s="13" t="s">
        <v>280</v>
      </c>
    </row>
    <row r="11" spans="2:12">
      <c r="C11" s="13" t="s">
        <v>281</v>
      </c>
    </row>
    <row r="13" spans="2:12">
      <c r="C13" s="13" t="s">
        <v>286</v>
      </c>
    </row>
    <row r="14" spans="2:12">
      <c r="C14" s="107" t="s">
        <v>282</v>
      </c>
      <c r="D14" s="107" t="s">
        <v>283</v>
      </c>
    </row>
    <row r="15" spans="2:12">
      <c r="D15" s="108" t="s">
        <v>284</v>
      </c>
    </row>
    <row r="16" spans="2:12">
      <c r="D16" s="107" t="s">
        <v>285</v>
      </c>
    </row>
    <row r="22" spans="2:4" ht="30" customHeight="1">
      <c r="B22" s="133" t="s">
        <v>276</v>
      </c>
      <c r="C22" s="133"/>
      <c r="D22" s="133"/>
    </row>
  </sheetData>
  <mergeCells count="1">
    <mergeCell ref="B22:D22"/>
  </mergeCells>
  <hyperlinks>
    <hyperlink ref="B22" location="'Annahmen-&gt;'!A1" display="-&gt; Jetzt mit der Planung starten!" xr:uid="{BC3B9F87-3EE6-48A6-9B5A-EF6851103CF0}"/>
    <hyperlink ref="B22:D22" location="Rentabilitätsplanung!A1" display="'-&gt; Zur Rentabilität" xr:uid="{6D2440B6-DC6B-4E8F-92D8-532CE2BD3135}"/>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7A37C-D931-4552-A784-F700B549C0F5}">
  <sheetPr>
    <tabColor rgb="FF00B050"/>
    <pageSetUpPr fitToPage="1"/>
  </sheetPr>
  <dimension ref="B2:L53"/>
  <sheetViews>
    <sheetView showGridLines="0" zoomScaleNormal="100" workbookViewId="0"/>
  </sheetViews>
  <sheetFormatPr baseColWidth="10" defaultColWidth="11.1640625" defaultRowHeight="15"/>
  <cols>
    <col min="1" max="1" width="2.6640625" style="13" customWidth="1"/>
    <col min="2" max="2" width="39.5" style="13" customWidth="1"/>
    <col min="3" max="5" width="16" style="13" customWidth="1"/>
    <col min="6" max="16384" width="11.1640625" style="13"/>
  </cols>
  <sheetData>
    <row r="2" spans="2:7" ht="23">
      <c r="B2" s="66" t="s">
        <v>287</v>
      </c>
      <c r="G2" s="123" t="s">
        <v>315</v>
      </c>
    </row>
    <row r="4" spans="2:7" ht="16">
      <c r="B4" s="49" t="s">
        <v>111</v>
      </c>
      <c r="C4" s="102" t="str">
        <f>Cover!$C$11</f>
        <v>Ellmann Consulting GmbH</v>
      </c>
    </row>
    <row r="6" spans="2:7">
      <c r="B6" s="109"/>
      <c r="C6" s="110">
        <f>YEAR(Cover!$C$15)</f>
        <v>2025</v>
      </c>
      <c r="D6" s="110">
        <f>YEAR(Cover!$C$15)+1</f>
        <v>2026</v>
      </c>
      <c r="E6" s="110">
        <f>YEAR(Cover!$C$15)+2</f>
        <v>2027</v>
      </c>
    </row>
    <row r="7" spans="2:7">
      <c r="B7" s="109" t="s">
        <v>288</v>
      </c>
      <c r="C7" s="113">
        <f>'Umsatz | COGS'!B51</f>
        <v>528421.9</v>
      </c>
      <c r="D7" s="113">
        <f>'Umsatz | COGS'!C51</f>
        <v>1673511.1000000003</v>
      </c>
      <c r="E7" s="113">
        <f>'Umsatz | COGS'!D51</f>
        <v>3281806.9000000008</v>
      </c>
    </row>
    <row r="8" spans="2:7">
      <c r="B8" s="109" t="s">
        <v>292</v>
      </c>
      <c r="C8" s="115">
        <v>0</v>
      </c>
      <c r="D8" s="115">
        <v>0</v>
      </c>
      <c r="E8" s="115">
        <v>0</v>
      </c>
    </row>
    <row r="9" spans="2:7">
      <c r="B9" s="109" t="s">
        <v>293</v>
      </c>
      <c r="C9" s="115">
        <v>0</v>
      </c>
      <c r="D9" s="115">
        <v>0</v>
      </c>
      <c r="E9" s="115">
        <v>0</v>
      </c>
    </row>
    <row r="10" spans="2:7">
      <c r="B10" s="111" t="s">
        <v>289</v>
      </c>
      <c r="C10" s="114">
        <f>SUM(C7:C9)</f>
        <v>528421.9</v>
      </c>
      <c r="D10" s="114">
        <f>SUM(D7:D9)</f>
        <v>1673511.1000000003</v>
      </c>
      <c r="E10" s="114">
        <f>SUM(E7:E9)</f>
        <v>3281806.9000000008</v>
      </c>
    </row>
    <row r="11" spans="2:7">
      <c r="B11" s="109" t="s">
        <v>28</v>
      </c>
      <c r="C11" s="113">
        <f>'Umsatz | COGS'!B70</f>
        <v>58830</v>
      </c>
      <c r="D11" s="113">
        <f>'Umsatz | COGS'!C70</f>
        <v>194670</v>
      </c>
      <c r="E11" s="113">
        <f>'Umsatz | COGS'!D70</f>
        <v>404730</v>
      </c>
    </row>
    <row r="12" spans="2:7">
      <c r="B12" s="109" t="s">
        <v>29</v>
      </c>
      <c r="C12" s="113">
        <f>'Umsatz | COGS'!B71</f>
        <v>66000</v>
      </c>
      <c r="D12" s="113">
        <f>'Umsatz | COGS'!C71</f>
        <v>208800</v>
      </c>
      <c r="E12" s="113">
        <f>'Umsatz | COGS'!D71</f>
        <v>378000</v>
      </c>
    </row>
    <row r="13" spans="2:7">
      <c r="B13" s="111" t="s">
        <v>290</v>
      </c>
      <c r="C13" s="114">
        <f>C10-SUM(C11:C12)</f>
        <v>403591.9</v>
      </c>
      <c r="D13" s="114">
        <f>D10-SUM(D11:D12)</f>
        <v>1270041.1000000003</v>
      </c>
      <c r="E13" s="114">
        <f>E10-SUM(E11:E12)</f>
        <v>2499076.9000000008</v>
      </c>
    </row>
    <row r="14" spans="2:7">
      <c r="B14" s="109" t="s">
        <v>291</v>
      </c>
      <c r="C14" s="115">
        <v>0</v>
      </c>
      <c r="D14" s="115">
        <v>0</v>
      </c>
      <c r="E14" s="115">
        <v>0</v>
      </c>
    </row>
    <row r="15" spans="2:7">
      <c r="B15" s="111" t="s">
        <v>294</v>
      </c>
      <c r="C15" s="114">
        <f>C13+C14</f>
        <v>403591.9</v>
      </c>
      <c r="D15" s="114">
        <f>D13+D14</f>
        <v>1270041.1000000003</v>
      </c>
      <c r="E15" s="114">
        <f>E13+E14</f>
        <v>2499076.9000000008</v>
      </c>
    </row>
    <row r="16" spans="2:7">
      <c r="B16" s="109" t="s">
        <v>133</v>
      </c>
      <c r="C16" s="113">
        <f>HR!B46</f>
        <v>413541.66666666669</v>
      </c>
      <c r="D16" s="113">
        <f>HR!C46</f>
        <v>697916.66666666674</v>
      </c>
      <c r="E16" s="113">
        <f>HR!D46</f>
        <v>925520.83333333314</v>
      </c>
    </row>
    <row r="17" spans="2:5">
      <c r="B17" s="109" t="s">
        <v>50</v>
      </c>
      <c r="C17" s="113">
        <f>OPEX!B23</f>
        <v>18000</v>
      </c>
      <c r="D17" s="113">
        <f>OPEX!C23</f>
        <v>26950</v>
      </c>
      <c r="E17" s="113">
        <f>OPEX!D23</f>
        <v>37400</v>
      </c>
    </row>
    <row r="18" spans="2:5">
      <c r="B18" s="109" t="s">
        <v>55</v>
      </c>
      <c r="C18" s="113">
        <f>OPEX!B33</f>
        <v>30600</v>
      </c>
      <c r="D18" s="113">
        <f>OPEX!C33</f>
        <v>42400</v>
      </c>
      <c r="E18" s="113">
        <f>OPEX!D33</f>
        <v>44800</v>
      </c>
    </row>
    <row r="19" spans="2:5">
      <c r="B19" s="109" t="s">
        <v>63</v>
      </c>
      <c r="C19" s="113">
        <f>OPEX!B41</f>
        <v>1700</v>
      </c>
      <c r="D19" s="113">
        <f>OPEX!C41</f>
        <v>3050</v>
      </c>
      <c r="E19" s="113">
        <f>OPEX!D41</f>
        <v>4225</v>
      </c>
    </row>
    <row r="20" spans="2:5">
      <c r="B20" s="109" t="s">
        <v>67</v>
      </c>
      <c r="C20" s="113">
        <f>OPEX!B51</f>
        <v>7388.4218999999994</v>
      </c>
      <c r="D20" s="113">
        <f>OPEX!C51</f>
        <v>9343.5111000000015</v>
      </c>
      <c r="E20" s="113">
        <f>OPEX!D51</f>
        <v>11656.8069</v>
      </c>
    </row>
    <row r="21" spans="2:5">
      <c r="B21" s="109" t="s">
        <v>72</v>
      </c>
      <c r="C21" s="113">
        <f>OPEX!B60</f>
        <v>180000</v>
      </c>
      <c r="D21" s="113">
        <f>OPEX!C60</f>
        <v>300000</v>
      </c>
      <c r="E21" s="113">
        <f>OPEX!D60</f>
        <v>378000</v>
      </c>
    </row>
    <row r="22" spans="2:5">
      <c r="B22" s="109" t="s">
        <v>75</v>
      </c>
      <c r="C22" s="113">
        <f>OPEX!B67</f>
        <v>7200</v>
      </c>
      <c r="D22" s="113">
        <f>OPEX!C67</f>
        <v>14400</v>
      </c>
      <c r="E22" s="113">
        <f>OPEX!D67</f>
        <v>21000</v>
      </c>
    </row>
    <row r="23" spans="2:5">
      <c r="B23" s="109" t="s">
        <v>295</v>
      </c>
      <c r="C23" s="113">
        <f>OPEX!B74</f>
        <v>5284.2190000000001</v>
      </c>
      <c r="D23" s="113">
        <f>OPEX!C74</f>
        <v>16735.111000000004</v>
      </c>
      <c r="E23" s="113">
        <f>OPEX!D74</f>
        <v>32818.068999999996</v>
      </c>
    </row>
    <row r="24" spans="2:5">
      <c r="B24" s="111" t="s">
        <v>296</v>
      </c>
      <c r="C24" s="114">
        <f>C15-SUM(C16:C23)</f>
        <v>-260122.40756666672</v>
      </c>
      <c r="D24" s="114">
        <f>D15-SUM(D16:D23)</f>
        <v>159245.81123333354</v>
      </c>
      <c r="E24" s="114">
        <f>E15-SUM(E16:E23)</f>
        <v>1043656.1907666677</v>
      </c>
    </row>
    <row r="25" spans="2:5">
      <c r="B25" s="109" t="s">
        <v>297</v>
      </c>
      <c r="C25" s="113">
        <f>CAPEX!B22</f>
        <v>60000</v>
      </c>
      <c r="D25" s="113">
        <f>CAPEX!C22</f>
        <v>60000</v>
      </c>
      <c r="E25" s="113">
        <f>CAPEX!D22</f>
        <v>60000</v>
      </c>
    </row>
    <row r="26" spans="2:5">
      <c r="B26" s="109" t="s">
        <v>298</v>
      </c>
      <c r="C26" s="113">
        <f>Finanzierung!B24</f>
        <v>26000.000000000004</v>
      </c>
      <c r="D26" s="113">
        <f>Finanzierung!C24</f>
        <v>24885.469195921061</v>
      </c>
      <c r="E26" s="113">
        <f>Finanzierung!D24</f>
        <v>22390.697961425725</v>
      </c>
    </row>
    <row r="27" spans="2:5">
      <c r="B27" s="111" t="s">
        <v>147</v>
      </c>
      <c r="C27" s="114">
        <f>C24-SUM(C25:C26)</f>
        <v>-346122.40756666672</v>
      </c>
      <c r="D27" s="114">
        <f>D24-SUM(D25:D26)</f>
        <v>74360.342037412483</v>
      </c>
      <c r="E27" s="114">
        <f>E24-SUM(E25:E26)</f>
        <v>961265.49280524196</v>
      </c>
    </row>
    <row r="28" spans="2:5">
      <c r="B28" s="109" t="s">
        <v>299</v>
      </c>
      <c r="C28" s="113">
        <f>Liquiditätsplan!N28</f>
        <v>0</v>
      </c>
      <c r="D28" s="113">
        <f>Liquiditätsplan!N64</f>
        <v>0</v>
      </c>
      <c r="E28" s="113">
        <f>Liquiditätsplan!N100</f>
        <v>282131.42213833856</v>
      </c>
    </row>
    <row r="29" spans="2:5" ht="16" thickBot="1">
      <c r="B29" s="112" t="s">
        <v>300</v>
      </c>
      <c r="C29" s="118">
        <f>C27-C28</f>
        <v>-346122.40756666672</v>
      </c>
      <c r="D29" s="118">
        <f>D27-D28</f>
        <v>74360.342037412483</v>
      </c>
      <c r="E29" s="118">
        <f>E27-E28</f>
        <v>679134.0706669034</v>
      </c>
    </row>
    <row r="30" spans="2:5" ht="16" thickTop="1"/>
    <row r="31" spans="2:5">
      <c r="B31" s="78" t="s">
        <v>316</v>
      </c>
    </row>
    <row r="32" spans="2:5">
      <c r="B32" s="109" t="s">
        <v>28</v>
      </c>
      <c r="C32" s="124">
        <f t="shared" ref="C32:E33" si="0">C11/C$10</f>
        <v>0.11133149477718467</v>
      </c>
      <c r="D32" s="124">
        <f t="shared" si="0"/>
        <v>0.11632429566795223</v>
      </c>
      <c r="E32" s="124">
        <f t="shared" si="0"/>
        <v>0.12332535470018054</v>
      </c>
    </row>
    <row r="33" spans="2:5">
      <c r="B33" s="125" t="s">
        <v>29</v>
      </c>
      <c r="C33" s="126">
        <f t="shared" si="0"/>
        <v>0.1249001981182082</v>
      </c>
      <c r="D33" s="126">
        <f t="shared" si="0"/>
        <v>0.12476762179826591</v>
      </c>
      <c r="E33" s="126">
        <f t="shared" si="0"/>
        <v>0.11518045135440476</v>
      </c>
    </row>
    <row r="34" spans="2:5">
      <c r="B34" s="109" t="s">
        <v>133</v>
      </c>
      <c r="C34" s="124">
        <f t="shared" ref="C34:C41" si="1">C16/C$10</f>
        <v>0.7825975166181921</v>
      </c>
      <c r="D34" s="124">
        <f t="shared" ref="D34:E41" si="2">D16/D$10</f>
        <v>0.41703736931692093</v>
      </c>
      <c r="E34" s="124">
        <f t="shared" si="2"/>
        <v>0.28201562783396333</v>
      </c>
    </row>
    <row r="35" spans="2:5">
      <c r="B35" s="125" t="s">
        <v>50</v>
      </c>
      <c r="C35" s="126">
        <f t="shared" si="1"/>
        <v>3.4063690395874958E-2</v>
      </c>
      <c r="D35" s="126">
        <f t="shared" si="2"/>
        <v>1.6103866893981161E-2</v>
      </c>
      <c r="E35" s="126">
        <f t="shared" si="2"/>
        <v>1.139616105993317E-2</v>
      </c>
    </row>
    <row r="36" spans="2:5">
      <c r="B36" s="109" t="s">
        <v>55</v>
      </c>
      <c r="C36" s="124">
        <f t="shared" si="1"/>
        <v>5.7908273672987433E-2</v>
      </c>
      <c r="D36" s="124">
        <f t="shared" si="2"/>
        <v>2.5335953851755147E-2</v>
      </c>
      <c r="E36" s="124">
        <f t="shared" si="2"/>
        <v>1.3651016456818342E-2</v>
      </c>
    </row>
    <row r="37" spans="2:5">
      <c r="B37" s="125" t="s">
        <v>63</v>
      </c>
      <c r="C37" s="126">
        <f t="shared" si="1"/>
        <v>3.2171263151659687E-3</v>
      </c>
      <c r="D37" s="126">
        <f t="shared" si="2"/>
        <v>1.8225155482984245E-3</v>
      </c>
      <c r="E37" s="126">
        <f t="shared" si="2"/>
        <v>1.2874005475459263E-3</v>
      </c>
    </row>
    <row r="38" spans="2:5">
      <c r="B38" s="109" t="s">
        <v>67</v>
      </c>
      <c r="C38" s="124">
        <f t="shared" si="1"/>
        <v>1.3982050895316789E-2</v>
      </c>
      <c r="D38" s="124">
        <f t="shared" si="2"/>
        <v>5.5831784444094808E-3</v>
      </c>
      <c r="E38" s="124">
        <f t="shared" si="2"/>
        <v>3.5519478309342322E-3</v>
      </c>
    </row>
    <row r="39" spans="2:5">
      <c r="B39" s="125" t="s">
        <v>72</v>
      </c>
      <c r="C39" s="126">
        <f t="shared" si="1"/>
        <v>0.34063690395874963</v>
      </c>
      <c r="D39" s="126">
        <f t="shared" si="2"/>
        <v>0.17926382442279584</v>
      </c>
      <c r="E39" s="126">
        <f t="shared" si="2"/>
        <v>0.11518045135440476</v>
      </c>
    </row>
    <row r="40" spans="2:5">
      <c r="B40" s="109" t="s">
        <v>75</v>
      </c>
      <c r="C40" s="124">
        <f t="shared" si="1"/>
        <v>1.3625476158349985E-2</v>
      </c>
      <c r="D40" s="124">
        <f t="shared" si="2"/>
        <v>8.6046635722942001E-3</v>
      </c>
      <c r="E40" s="124">
        <f t="shared" si="2"/>
        <v>6.3989139641335985E-3</v>
      </c>
    </row>
    <row r="41" spans="2:5">
      <c r="B41" s="125" t="s">
        <v>295</v>
      </c>
      <c r="C41" s="126">
        <f t="shared" si="1"/>
        <v>0.01</v>
      </c>
      <c r="D41" s="126">
        <f t="shared" si="2"/>
        <v>0.01</v>
      </c>
      <c r="E41" s="126">
        <f t="shared" si="2"/>
        <v>9.9999999999999967E-3</v>
      </c>
    </row>
    <row r="42" spans="2:5">
      <c r="B42" s="109" t="s">
        <v>147</v>
      </c>
      <c r="C42" s="124">
        <f t="shared" ref="C42:E44" si="3">C27/C$10</f>
        <v>-0.65501147391254355</v>
      </c>
      <c r="D42" s="124">
        <f t="shared" si="3"/>
        <v>4.4433730996712523E-2</v>
      </c>
      <c r="E42" s="124">
        <f t="shared" si="3"/>
        <v>0.29290738976910607</v>
      </c>
    </row>
    <row r="43" spans="2:5">
      <c r="B43" s="125" t="s">
        <v>317</v>
      </c>
      <c r="C43" s="126">
        <f t="shared" si="3"/>
        <v>0</v>
      </c>
      <c r="D43" s="126">
        <f t="shared" si="3"/>
        <v>0</v>
      </c>
      <c r="E43" s="126">
        <f t="shared" si="3"/>
        <v>8.5968318897232651E-2</v>
      </c>
    </row>
    <row r="44" spans="2:5">
      <c r="B44" s="109" t="s">
        <v>300</v>
      </c>
      <c r="C44" s="124">
        <f t="shared" si="3"/>
        <v>-0.65501147391254355</v>
      </c>
      <c r="D44" s="124">
        <f t="shared" si="3"/>
        <v>4.4433730996712523E-2</v>
      </c>
      <c r="E44" s="124">
        <f t="shared" si="3"/>
        <v>0.20693907087187344</v>
      </c>
    </row>
    <row r="47" spans="2:5" ht="30" customHeight="1">
      <c r="C47" s="133" t="s">
        <v>319</v>
      </c>
      <c r="D47" s="133"/>
      <c r="E47" s="133"/>
    </row>
    <row r="49" spans="2:12" s="74" customFormat="1"/>
    <row r="50" spans="2:12" s="75" customFormat="1">
      <c r="B50" s="75" t="s">
        <v>197</v>
      </c>
      <c r="C50" s="76">
        <v>1</v>
      </c>
      <c r="D50" s="76">
        <v>2</v>
      </c>
      <c r="E50" s="76">
        <v>3</v>
      </c>
      <c r="F50" s="76">
        <v>4</v>
      </c>
      <c r="G50" s="76">
        <v>5</v>
      </c>
      <c r="H50" s="76">
        <v>6</v>
      </c>
      <c r="I50" s="76">
        <v>7</v>
      </c>
      <c r="J50" s="76">
        <v>8</v>
      </c>
      <c r="K50" s="76">
        <v>9</v>
      </c>
      <c r="L50" s="76"/>
    </row>
    <row r="51" spans="2:12" s="75" customFormat="1">
      <c r="B51" s="75" t="s">
        <v>196</v>
      </c>
      <c r="C51" s="76" t="s">
        <v>195</v>
      </c>
      <c r="D51" s="76" t="s">
        <v>17</v>
      </c>
      <c r="E51" s="76" t="s">
        <v>31</v>
      </c>
      <c r="F51" s="76" t="s">
        <v>49</v>
      </c>
      <c r="G51" s="76" t="s">
        <v>80</v>
      </c>
      <c r="H51" s="76" t="s">
        <v>271</v>
      </c>
      <c r="I51" s="76" t="s">
        <v>272</v>
      </c>
      <c r="J51" s="76" t="s">
        <v>110</v>
      </c>
      <c r="K51" s="76" t="s">
        <v>273</v>
      </c>
      <c r="L51" s="76"/>
    </row>
    <row r="52" spans="2:12" s="75" customFormat="1">
      <c r="B52" s="75" t="s">
        <v>238</v>
      </c>
      <c r="C52" s="85"/>
      <c r="D52" s="85"/>
      <c r="E52" s="85"/>
      <c r="F52" s="85"/>
      <c r="G52" s="85"/>
    </row>
    <row r="53" spans="2:12" s="75" customFormat="1"/>
  </sheetData>
  <mergeCells count="1">
    <mergeCell ref="C47:E47"/>
  </mergeCells>
  <hyperlinks>
    <hyperlink ref="C47:E47" location="'Umsatz- und Ertragsvorschau'!A1" display="-&gt; Zur monatlichen Ansicht" xr:uid="{D90D9E98-70A4-438C-A255-8510D2D5CDD3}"/>
  </hyperlinks>
  <pageMargins left="0.7" right="0.7" top="0.78740157499999996" bottom="0.78740157499999996" header="0.3" footer="0.3"/>
  <pageSetup paperSize="9" scale="90"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A4B1D-67AC-459F-A9F1-7CD9EB7A21E2}">
  <sheetPr>
    <tabColor rgb="FF00B050"/>
  </sheetPr>
  <dimension ref="A1:P87"/>
  <sheetViews>
    <sheetView showGridLines="0" zoomScaleNormal="100" workbookViewId="0"/>
  </sheetViews>
  <sheetFormatPr baseColWidth="10" defaultColWidth="8.1640625" defaultRowHeight="16"/>
  <cols>
    <col min="1" max="1" width="33.5" style="49" bestFit="1" customWidth="1"/>
    <col min="2" max="14" width="13.1640625" style="49" customWidth="1"/>
    <col min="15" max="15" width="8.1640625" style="49"/>
    <col min="16" max="16" width="22.5" style="49" bestFit="1" customWidth="1"/>
    <col min="17" max="19" width="11" style="49" bestFit="1" customWidth="1"/>
    <col min="20" max="16384" width="8.1640625" style="49"/>
  </cols>
  <sheetData>
    <row r="1" spans="1:16" ht="23">
      <c r="A1" s="66" t="s">
        <v>148</v>
      </c>
      <c r="P1" s="123" t="s">
        <v>315</v>
      </c>
    </row>
    <row r="2" spans="1:16" ht="24">
      <c r="A2" s="48"/>
    </row>
    <row r="3" spans="1:16">
      <c r="A3" s="49" t="s">
        <v>111</v>
      </c>
      <c r="B3" s="102" t="str">
        <f>Cover!$C$11</f>
        <v>Ellmann Consulting GmbH</v>
      </c>
    </row>
    <row r="4" spans="1:16">
      <c r="A4" s="138" t="s">
        <v>114</v>
      </c>
      <c r="B4" s="50" t="s">
        <v>115</v>
      </c>
      <c r="C4" s="50" t="s">
        <v>116</v>
      </c>
      <c r="D4" s="50" t="s">
        <v>117</v>
      </c>
      <c r="E4" s="50" t="s">
        <v>118</v>
      </c>
      <c r="F4" s="50" t="s">
        <v>119</v>
      </c>
      <c r="G4" s="50" t="s">
        <v>120</v>
      </c>
      <c r="H4" s="50" t="s">
        <v>121</v>
      </c>
      <c r="I4" s="50" t="s">
        <v>122</v>
      </c>
      <c r="J4" s="50" t="s">
        <v>123</v>
      </c>
      <c r="K4" s="50" t="s">
        <v>124</v>
      </c>
      <c r="L4" s="50" t="s">
        <v>125</v>
      </c>
      <c r="M4" s="50" t="s">
        <v>126</v>
      </c>
      <c r="N4" s="138" t="s">
        <v>127</v>
      </c>
    </row>
    <row r="5" spans="1:16">
      <c r="A5" s="138"/>
      <c r="B5" s="106">
        <f>DATE(YEAR(Cover!$C$15),MONTH(Cover!$C$15),DAY(Cover!$C$15))</f>
        <v>45658</v>
      </c>
      <c r="C5" s="51">
        <f t="shared" ref="C5:M5" si="0">DATE(YEAR(B5),MONTH(B5)+1,DAY(B5))</f>
        <v>45689</v>
      </c>
      <c r="D5" s="51">
        <f t="shared" si="0"/>
        <v>45717</v>
      </c>
      <c r="E5" s="51">
        <f t="shared" si="0"/>
        <v>45748</v>
      </c>
      <c r="F5" s="51">
        <f t="shared" si="0"/>
        <v>45778</v>
      </c>
      <c r="G5" s="51">
        <f t="shared" si="0"/>
        <v>45809</v>
      </c>
      <c r="H5" s="51">
        <f t="shared" si="0"/>
        <v>45839</v>
      </c>
      <c r="I5" s="51">
        <f t="shared" si="0"/>
        <v>45870</v>
      </c>
      <c r="J5" s="51">
        <f t="shared" si="0"/>
        <v>45901</v>
      </c>
      <c r="K5" s="51">
        <f t="shared" si="0"/>
        <v>45931</v>
      </c>
      <c r="L5" s="51">
        <f t="shared" si="0"/>
        <v>45962</v>
      </c>
      <c r="M5" s="51">
        <f t="shared" si="0"/>
        <v>45992</v>
      </c>
      <c r="N5" s="138"/>
    </row>
    <row r="7" spans="1:16" ht="24.5" customHeight="1">
      <c r="A7" s="52" t="s">
        <v>128</v>
      </c>
      <c r="B7" s="53">
        <f>'Umsatz | COGS'!G51</f>
        <v>8750</v>
      </c>
      <c r="C7" s="53">
        <f>'Umsatz | COGS'!H51</f>
        <v>20000</v>
      </c>
      <c r="D7" s="53">
        <f>'Umsatz | COGS'!I51</f>
        <v>28750</v>
      </c>
      <c r="E7" s="53">
        <f>'Umsatz | COGS'!J51</f>
        <v>40559.65</v>
      </c>
      <c r="F7" s="53">
        <f>'Umsatz | COGS'!K51</f>
        <v>42078.7</v>
      </c>
      <c r="G7" s="53">
        <f>'Umsatz | COGS'!L51</f>
        <v>43597.75</v>
      </c>
      <c r="H7" s="53">
        <f>'Umsatz | COGS'!M51</f>
        <v>45116.800000000003</v>
      </c>
      <c r="I7" s="53">
        <f>'Umsatz | COGS'!N51</f>
        <v>52885.85</v>
      </c>
      <c r="J7" s="53">
        <f>'Umsatz | COGS'!O51</f>
        <v>54404.9</v>
      </c>
      <c r="K7" s="53">
        <f>'Umsatz | COGS'!P51</f>
        <v>62173.95</v>
      </c>
      <c r="L7" s="53">
        <f>'Umsatz | COGS'!Q51</f>
        <v>64092.75</v>
      </c>
      <c r="M7" s="53">
        <f>'Umsatz | COGS'!R51</f>
        <v>66011.55</v>
      </c>
      <c r="N7" s="54">
        <f>SUM(B7:M7)</f>
        <v>528421.9</v>
      </c>
    </row>
    <row r="8" spans="1:16" ht="24.5" customHeight="1">
      <c r="A8" s="55" t="s">
        <v>129</v>
      </c>
      <c r="B8" s="53">
        <f>'Umsatz | COGS'!G70</f>
        <v>1800</v>
      </c>
      <c r="C8" s="53">
        <f>'Umsatz | COGS'!H70</f>
        <v>3600</v>
      </c>
      <c r="D8" s="53">
        <f>'Umsatz | COGS'!I70</f>
        <v>3600</v>
      </c>
      <c r="E8" s="53">
        <f>'Umsatz | COGS'!J70</f>
        <v>3705</v>
      </c>
      <c r="F8" s="53">
        <f>'Umsatz | COGS'!K70</f>
        <v>3990</v>
      </c>
      <c r="G8" s="53">
        <f>'Umsatz | COGS'!L70</f>
        <v>4275</v>
      </c>
      <c r="H8" s="53">
        <f>'Umsatz | COGS'!M70</f>
        <v>4560</v>
      </c>
      <c r="I8" s="53">
        <f>'Umsatz | COGS'!N70</f>
        <v>6045</v>
      </c>
      <c r="J8" s="53">
        <f>'Umsatz | COGS'!O70</f>
        <v>6330</v>
      </c>
      <c r="K8" s="53">
        <f>'Umsatz | COGS'!P70</f>
        <v>6615</v>
      </c>
      <c r="L8" s="53">
        <f>'Umsatz | COGS'!Q70</f>
        <v>6975</v>
      </c>
      <c r="M8" s="53">
        <f>'Umsatz | COGS'!R70</f>
        <v>7335</v>
      </c>
      <c r="N8" s="54">
        <f>SUM(B8:M8)</f>
        <v>58830</v>
      </c>
    </row>
    <row r="9" spans="1:16" ht="24.5" customHeight="1">
      <c r="A9" s="55" t="s">
        <v>130</v>
      </c>
      <c r="B9" s="53">
        <f>'Umsatz | COGS'!G71</f>
        <v>0</v>
      </c>
      <c r="C9" s="53">
        <f>'Umsatz | COGS'!H71</f>
        <v>0</v>
      </c>
      <c r="D9" s="53">
        <f>'Umsatz | COGS'!I71</f>
        <v>0</v>
      </c>
      <c r="E9" s="53">
        <f>'Umsatz | COGS'!J71</f>
        <v>3600</v>
      </c>
      <c r="F9" s="53">
        <f>'Umsatz | COGS'!K71</f>
        <v>7200</v>
      </c>
      <c r="G9" s="53">
        <f>'Umsatz | COGS'!L71</f>
        <v>7200</v>
      </c>
      <c r="H9" s="53">
        <f>'Umsatz | COGS'!M71</f>
        <v>7200</v>
      </c>
      <c r="I9" s="53">
        <f>'Umsatz | COGS'!N71</f>
        <v>7200</v>
      </c>
      <c r="J9" s="53">
        <f>'Umsatz | COGS'!O71</f>
        <v>7200</v>
      </c>
      <c r="K9" s="53">
        <f>'Umsatz | COGS'!P71</f>
        <v>7200</v>
      </c>
      <c r="L9" s="53">
        <f>'Umsatz | COGS'!Q71</f>
        <v>9600</v>
      </c>
      <c r="M9" s="53">
        <f>'Umsatz | COGS'!R71</f>
        <v>9600</v>
      </c>
      <c r="N9" s="54">
        <f>SUM(B9:M9)</f>
        <v>66000</v>
      </c>
    </row>
    <row r="10" spans="1:16" ht="24.5" customHeight="1">
      <c r="A10" s="56" t="s">
        <v>131</v>
      </c>
      <c r="B10" s="54">
        <f t="shared" ref="B10:N10" si="1">B7-B8-B9</f>
        <v>6950</v>
      </c>
      <c r="C10" s="54">
        <f t="shared" si="1"/>
        <v>16400</v>
      </c>
      <c r="D10" s="54">
        <f t="shared" si="1"/>
        <v>25150</v>
      </c>
      <c r="E10" s="54">
        <f t="shared" si="1"/>
        <v>33254.65</v>
      </c>
      <c r="F10" s="54">
        <f t="shared" si="1"/>
        <v>30888.699999999997</v>
      </c>
      <c r="G10" s="54">
        <f t="shared" si="1"/>
        <v>32122.75</v>
      </c>
      <c r="H10" s="54">
        <f t="shared" si="1"/>
        <v>33356.800000000003</v>
      </c>
      <c r="I10" s="54">
        <f t="shared" si="1"/>
        <v>39640.85</v>
      </c>
      <c r="J10" s="54">
        <f t="shared" si="1"/>
        <v>40874.9</v>
      </c>
      <c r="K10" s="54">
        <f t="shared" si="1"/>
        <v>48358.95</v>
      </c>
      <c r="L10" s="54">
        <f t="shared" si="1"/>
        <v>47517.75</v>
      </c>
      <c r="M10" s="54">
        <f t="shared" si="1"/>
        <v>49076.55</v>
      </c>
      <c r="N10" s="54">
        <f t="shared" si="1"/>
        <v>403591.9</v>
      </c>
    </row>
    <row r="11" spans="1:16" ht="24.5" customHeight="1">
      <c r="B11" s="57"/>
      <c r="C11" s="57"/>
      <c r="D11" s="57"/>
      <c r="E11" s="57"/>
      <c r="F11" s="57"/>
      <c r="G11" s="57"/>
      <c r="H11" s="57"/>
      <c r="I11" s="57"/>
      <c r="J11" s="57"/>
      <c r="K11" s="57"/>
      <c r="L11" s="57"/>
      <c r="M11" s="57"/>
      <c r="N11" s="57"/>
    </row>
    <row r="12" spans="1:16" ht="24.5" customHeight="1">
      <c r="A12" s="58" t="s">
        <v>132</v>
      </c>
      <c r="B12" s="59"/>
      <c r="C12" s="59"/>
      <c r="D12" s="59"/>
      <c r="E12" s="59"/>
      <c r="F12" s="59"/>
      <c r="G12" s="59"/>
      <c r="H12" s="59"/>
      <c r="I12" s="59"/>
      <c r="J12" s="59"/>
      <c r="K12" s="59"/>
      <c r="L12" s="59"/>
      <c r="M12" s="59"/>
      <c r="N12" s="59"/>
    </row>
    <row r="13" spans="1:16" ht="24.5" customHeight="1">
      <c r="A13" s="52" t="s">
        <v>133</v>
      </c>
      <c r="B13" s="53">
        <f>HR!G46</f>
        <v>25520.833333333328</v>
      </c>
      <c r="C13" s="53">
        <f>HR!H46</f>
        <v>32291.666666666672</v>
      </c>
      <c r="D13" s="53">
        <f>HR!I46</f>
        <v>32291.666666666672</v>
      </c>
      <c r="E13" s="53">
        <f>HR!J46</f>
        <v>35937.500000000007</v>
      </c>
      <c r="F13" s="53">
        <f>HR!K46</f>
        <v>35937.500000000007</v>
      </c>
      <c r="G13" s="53">
        <f>HR!L46</f>
        <v>35937.500000000007</v>
      </c>
      <c r="H13" s="53">
        <f>HR!M46</f>
        <v>35937.500000000007</v>
      </c>
      <c r="I13" s="53">
        <f>HR!N46</f>
        <v>35937.500000000007</v>
      </c>
      <c r="J13" s="53">
        <f>HR!O46</f>
        <v>35937.500000000007</v>
      </c>
      <c r="K13" s="53">
        <f>HR!P46</f>
        <v>35937.500000000007</v>
      </c>
      <c r="L13" s="53">
        <f>HR!Q46</f>
        <v>35937.500000000007</v>
      </c>
      <c r="M13" s="53">
        <f>HR!R46</f>
        <v>35937.500000000007</v>
      </c>
      <c r="N13" s="54">
        <f t="shared" ref="N13:N22" si="2">SUM(B13:M13)</f>
        <v>413541.66666666669</v>
      </c>
    </row>
    <row r="14" spans="1:16" ht="24.5" customHeight="1">
      <c r="A14" s="35" t="s">
        <v>134</v>
      </c>
      <c r="B14" s="53">
        <f>OPEX!G23</f>
        <v>1500</v>
      </c>
      <c r="C14" s="53">
        <f>OPEX!H23</f>
        <v>1500</v>
      </c>
      <c r="D14" s="53">
        <f>OPEX!I23</f>
        <v>1500</v>
      </c>
      <c r="E14" s="53">
        <f>OPEX!J23</f>
        <v>1500</v>
      </c>
      <c r="F14" s="53">
        <f>OPEX!K23</f>
        <v>1500</v>
      </c>
      <c r="G14" s="53">
        <f>OPEX!L23</f>
        <v>1500</v>
      </c>
      <c r="H14" s="53">
        <f>OPEX!M23</f>
        <v>1500</v>
      </c>
      <c r="I14" s="53">
        <f>OPEX!N23</f>
        <v>1500</v>
      </c>
      <c r="J14" s="53">
        <f>OPEX!O23</f>
        <v>1500</v>
      </c>
      <c r="K14" s="53">
        <f>OPEX!P23</f>
        <v>1500</v>
      </c>
      <c r="L14" s="53">
        <f>OPEX!Q23</f>
        <v>1500</v>
      </c>
      <c r="M14" s="53">
        <f>OPEX!R23</f>
        <v>1500</v>
      </c>
      <c r="N14" s="54">
        <f t="shared" si="2"/>
        <v>18000</v>
      </c>
    </row>
    <row r="15" spans="1:16" ht="24.5" customHeight="1">
      <c r="A15" s="35" t="s">
        <v>135</v>
      </c>
      <c r="B15" s="53">
        <f>OPEX!G33</f>
        <v>12800</v>
      </c>
      <c r="C15" s="53">
        <f>OPEX!H33</f>
        <v>3500</v>
      </c>
      <c r="D15" s="53">
        <f>OPEX!I33</f>
        <v>1000</v>
      </c>
      <c r="E15" s="53">
        <f>OPEX!J33</f>
        <v>3700</v>
      </c>
      <c r="F15" s="53">
        <f>OPEX!K33</f>
        <v>1200</v>
      </c>
      <c r="G15" s="53">
        <f>OPEX!L33</f>
        <v>1200</v>
      </c>
      <c r="H15" s="53">
        <f>OPEX!M33</f>
        <v>1200</v>
      </c>
      <c r="I15" s="53">
        <f>OPEX!N33</f>
        <v>1200</v>
      </c>
      <c r="J15" s="53">
        <f>OPEX!O33</f>
        <v>1200</v>
      </c>
      <c r="K15" s="53">
        <f>OPEX!P33</f>
        <v>1200</v>
      </c>
      <c r="L15" s="53">
        <f>OPEX!Q33</f>
        <v>1200</v>
      </c>
      <c r="M15" s="53">
        <f>OPEX!R33</f>
        <v>1200</v>
      </c>
      <c r="N15" s="54">
        <f t="shared" si="2"/>
        <v>30600</v>
      </c>
    </row>
    <row r="16" spans="1:16" ht="24.5" customHeight="1">
      <c r="A16" s="35" t="s">
        <v>136</v>
      </c>
      <c r="B16" s="53">
        <f>OPEX!G41</f>
        <v>100</v>
      </c>
      <c r="C16" s="53">
        <f>OPEX!H41</f>
        <v>125</v>
      </c>
      <c r="D16" s="53">
        <f>OPEX!I41</f>
        <v>125</v>
      </c>
      <c r="E16" s="53">
        <f>OPEX!J41</f>
        <v>150</v>
      </c>
      <c r="F16" s="53">
        <f>OPEX!K41</f>
        <v>150</v>
      </c>
      <c r="G16" s="53">
        <f>OPEX!L41</f>
        <v>150</v>
      </c>
      <c r="H16" s="53">
        <f>OPEX!M41</f>
        <v>150</v>
      </c>
      <c r="I16" s="53">
        <f>OPEX!N41</f>
        <v>150</v>
      </c>
      <c r="J16" s="53">
        <f>OPEX!O41</f>
        <v>150</v>
      </c>
      <c r="K16" s="53">
        <f>OPEX!P41</f>
        <v>150</v>
      </c>
      <c r="L16" s="53">
        <f>OPEX!Q41</f>
        <v>150</v>
      </c>
      <c r="M16" s="53">
        <f>OPEX!R41</f>
        <v>150</v>
      </c>
      <c r="N16" s="54">
        <f t="shared" si="2"/>
        <v>1700</v>
      </c>
    </row>
    <row r="17" spans="1:14" ht="24.5" customHeight="1">
      <c r="A17" s="35" t="s">
        <v>137</v>
      </c>
      <c r="B17" s="53">
        <f>OPEX!G51</f>
        <v>555.41666666666674</v>
      </c>
      <c r="C17" s="53">
        <f>OPEX!H51</f>
        <v>581.66666666666674</v>
      </c>
      <c r="D17" s="53">
        <f>OPEX!I51</f>
        <v>590.41666666666674</v>
      </c>
      <c r="E17" s="53">
        <f>OPEX!J51</f>
        <v>617.22631666666666</v>
      </c>
      <c r="F17" s="53">
        <f>OPEX!K51</f>
        <v>618.74536666666665</v>
      </c>
      <c r="G17" s="53">
        <f>OPEX!L51</f>
        <v>620.26441666666665</v>
      </c>
      <c r="H17" s="53">
        <f>OPEX!M51</f>
        <v>621.78346666666675</v>
      </c>
      <c r="I17" s="53">
        <f>OPEX!N51</f>
        <v>629.55251666666663</v>
      </c>
      <c r="J17" s="53">
        <f>OPEX!O51</f>
        <v>631.07156666666674</v>
      </c>
      <c r="K17" s="53">
        <f>OPEX!P51</f>
        <v>638.84061666666662</v>
      </c>
      <c r="L17" s="53">
        <f>OPEX!Q51</f>
        <v>640.75941666666665</v>
      </c>
      <c r="M17" s="53">
        <f>OPEX!R51</f>
        <v>642.67821666666669</v>
      </c>
      <c r="N17" s="54">
        <f t="shared" si="2"/>
        <v>7388.4218999999994</v>
      </c>
    </row>
    <row r="18" spans="1:14" ht="24.5" customHeight="1">
      <c r="A18" s="35" t="s">
        <v>138</v>
      </c>
      <c r="B18" s="53">
        <f>OPEX!G60</f>
        <v>12500</v>
      </c>
      <c r="C18" s="53">
        <f>OPEX!H60</f>
        <v>12500</v>
      </c>
      <c r="D18" s="53">
        <f>OPEX!I60</f>
        <v>12500</v>
      </c>
      <c r="E18" s="53">
        <f>OPEX!J60</f>
        <v>12500</v>
      </c>
      <c r="F18" s="53">
        <f>OPEX!K60</f>
        <v>12500</v>
      </c>
      <c r="G18" s="53">
        <f>OPEX!L60</f>
        <v>12500</v>
      </c>
      <c r="H18" s="53">
        <f>OPEX!M60</f>
        <v>17500</v>
      </c>
      <c r="I18" s="53">
        <f>OPEX!N60</f>
        <v>17500</v>
      </c>
      <c r="J18" s="53">
        <f>OPEX!O60</f>
        <v>17500</v>
      </c>
      <c r="K18" s="53">
        <f>OPEX!P60</f>
        <v>17500</v>
      </c>
      <c r="L18" s="53">
        <f>OPEX!Q60</f>
        <v>17500</v>
      </c>
      <c r="M18" s="53">
        <f>OPEX!R60</f>
        <v>17500</v>
      </c>
      <c r="N18" s="54">
        <f t="shared" si="2"/>
        <v>180000</v>
      </c>
    </row>
    <row r="19" spans="1:14" ht="24.5" customHeight="1">
      <c r="A19" s="35" t="s">
        <v>139</v>
      </c>
      <c r="B19" s="53">
        <f>OPEX!G67</f>
        <v>600</v>
      </c>
      <c r="C19" s="53">
        <f>OPEX!H67</f>
        <v>600</v>
      </c>
      <c r="D19" s="53">
        <f>OPEX!I67</f>
        <v>600</v>
      </c>
      <c r="E19" s="53">
        <f>OPEX!J67</f>
        <v>600</v>
      </c>
      <c r="F19" s="53">
        <f>OPEX!K67</f>
        <v>600</v>
      </c>
      <c r="G19" s="53">
        <f>OPEX!L67</f>
        <v>600</v>
      </c>
      <c r="H19" s="53">
        <f>OPEX!M67</f>
        <v>600</v>
      </c>
      <c r="I19" s="53">
        <f>OPEX!N67</f>
        <v>600</v>
      </c>
      <c r="J19" s="53">
        <f>OPEX!O67</f>
        <v>600</v>
      </c>
      <c r="K19" s="53">
        <f>OPEX!P67</f>
        <v>600</v>
      </c>
      <c r="L19" s="53">
        <f>OPEX!Q67</f>
        <v>600</v>
      </c>
      <c r="M19" s="53">
        <f>OPEX!R67</f>
        <v>600</v>
      </c>
      <c r="N19" s="54">
        <f t="shared" si="2"/>
        <v>7200</v>
      </c>
    </row>
    <row r="20" spans="1:14" ht="24.5" customHeight="1">
      <c r="A20" s="35" t="s">
        <v>140</v>
      </c>
      <c r="B20" s="53">
        <f>OPEX!G74</f>
        <v>87.5</v>
      </c>
      <c r="C20" s="53">
        <f>OPEX!H74</f>
        <v>200</v>
      </c>
      <c r="D20" s="53">
        <f>OPEX!I74</f>
        <v>287.5</v>
      </c>
      <c r="E20" s="53">
        <f>OPEX!J74</f>
        <v>405.59650000000005</v>
      </c>
      <c r="F20" s="53">
        <f>OPEX!K74</f>
        <v>420.78699999999998</v>
      </c>
      <c r="G20" s="53">
        <f>OPEX!L74</f>
        <v>435.97750000000002</v>
      </c>
      <c r="H20" s="53">
        <f>OPEX!M74</f>
        <v>451.16800000000006</v>
      </c>
      <c r="I20" s="53">
        <f>OPEX!N74</f>
        <v>528.85850000000005</v>
      </c>
      <c r="J20" s="53">
        <f>OPEX!O74</f>
        <v>544.04899999999998</v>
      </c>
      <c r="K20" s="53">
        <f>OPEX!P74</f>
        <v>621.73950000000002</v>
      </c>
      <c r="L20" s="53">
        <f>OPEX!Q74</f>
        <v>640.92750000000001</v>
      </c>
      <c r="M20" s="53">
        <f>OPEX!R74</f>
        <v>660.1155</v>
      </c>
      <c r="N20" s="54">
        <f t="shared" si="2"/>
        <v>5284.2190000000001</v>
      </c>
    </row>
    <row r="21" spans="1:14" ht="24.5" customHeight="1">
      <c r="A21" s="35" t="s">
        <v>141</v>
      </c>
      <c r="B21" s="53">
        <f>Finanzierung!G24</f>
        <v>2166.6666666666665</v>
      </c>
      <c r="C21" s="53">
        <f>Finanzierung!H24</f>
        <v>2166.6666666666665</v>
      </c>
      <c r="D21" s="53">
        <f>Finanzierung!I24</f>
        <v>2166.6666666666665</v>
      </c>
      <c r="E21" s="53">
        <f>Finanzierung!J24</f>
        <v>2166.6666666666665</v>
      </c>
      <c r="F21" s="53">
        <f>Finanzierung!K24</f>
        <v>2166.6666666666665</v>
      </c>
      <c r="G21" s="53">
        <f>Finanzierung!L24</f>
        <v>2166.6666666666665</v>
      </c>
      <c r="H21" s="53">
        <f>Finanzierung!M24</f>
        <v>2166.6666666666665</v>
      </c>
      <c r="I21" s="53">
        <f>Finanzierung!N24</f>
        <v>2166.6666666666665</v>
      </c>
      <c r="J21" s="53">
        <f>Finanzierung!O24</f>
        <v>2166.6666666666665</v>
      </c>
      <c r="K21" s="53">
        <f>Finanzierung!P24</f>
        <v>2166.6666666666665</v>
      </c>
      <c r="L21" s="53">
        <f>Finanzierung!Q24</f>
        <v>2166.6666666666665</v>
      </c>
      <c r="M21" s="53">
        <f>Finanzierung!R24</f>
        <v>2166.6666666666665</v>
      </c>
      <c r="N21" s="54">
        <f t="shared" si="2"/>
        <v>26000.000000000004</v>
      </c>
    </row>
    <row r="22" spans="1:14" ht="24.5" customHeight="1">
      <c r="A22" s="35" t="s">
        <v>142</v>
      </c>
      <c r="B22" s="53">
        <f>CAPEX!G29</f>
        <v>5000</v>
      </c>
      <c r="C22" s="53">
        <f>CAPEX!H29</f>
        <v>5000</v>
      </c>
      <c r="D22" s="53">
        <f>CAPEX!I29</f>
        <v>5000</v>
      </c>
      <c r="E22" s="53">
        <f>CAPEX!J29</f>
        <v>5000</v>
      </c>
      <c r="F22" s="53">
        <f>CAPEX!K29</f>
        <v>5000</v>
      </c>
      <c r="G22" s="53">
        <f>CAPEX!L29</f>
        <v>5000</v>
      </c>
      <c r="H22" s="53">
        <f>CAPEX!M29</f>
        <v>5000</v>
      </c>
      <c r="I22" s="53">
        <f>CAPEX!N29</f>
        <v>5000</v>
      </c>
      <c r="J22" s="53">
        <f>CAPEX!O29</f>
        <v>5000</v>
      </c>
      <c r="K22" s="53">
        <f>CAPEX!P29</f>
        <v>5000</v>
      </c>
      <c r="L22" s="53">
        <f>CAPEX!Q29</f>
        <v>5000</v>
      </c>
      <c r="M22" s="53">
        <f>CAPEX!R29</f>
        <v>5000</v>
      </c>
      <c r="N22" s="54">
        <f t="shared" si="2"/>
        <v>60000</v>
      </c>
    </row>
    <row r="23" spans="1:14" ht="24.5" customHeight="1">
      <c r="A23" s="56" t="s">
        <v>143</v>
      </c>
      <c r="B23" s="54">
        <f t="shared" ref="B23:M23" si="3">SUM(B13:B20)</f>
        <v>53663.749999999993</v>
      </c>
      <c r="C23" s="54">
        <f t="shared" si="3"/>
        <v>51298.333333333336</v>
      </c>
      <c r="D23" s="54">
        <f t="shared" si="3"/>
        <v>48894.583333333336</v>
      </c>
      <c r="E23" s="54">
        <f t="shared" si="3"/>
        <v>55410.322816666674</v>
      </c>
      <c r="F23" s="54">
        <f t="shared" si="3"/>
        <v>52927.032366666674</v>
      </c>
      <c r="G23" s="54">
        <f t="shared" si="3"/>
        <v>52943.741916666673</v>
      </c>
      <c r="H23" s="54">
        <f t="shared" si="3"/>
        <v>57960.451466666673</v>
      </c>
      <c r="I23" s="54">
        <f t="shared" si="3"/>
        <v>58045.91101666668</v>
      </c>
      <c r="J23" s="54">
        <f t="shared" si="3"/>
        <v>58062.620566666672</v>
      </c>
      <c r="K23" s="54">
        <f t="shared" si="3"/>
        <v>58148.080116666679</v>
      </c>
      <c r="L23" s="54">
        <f t="shared" si="3"/>
        <v>58169.186916666673</v>
      </c>
      <c r="M23" s="54">
        <f t="shared" si="3"/>
        <v>58190.293716666674</v>
      </c>
      <c r="N23" s="54">
        <f>SUM(N13:N22)</f>
        <v>749714.30756666674</v>
      </c>
    </row>
    <row r="24" spans="1:14" ht="24.5" customHeight="1">
      <c r="B24" s="57"/>
      <c r="C24" s="57"/>
      <c r="D24" s="57"/>
      <c r="E24" s="57"/>
      <c r="F24" s="57"/>
      <c r="G24" s="57"/>
      <c r="H24" s="57"/>
      <c r="I24" s="57"/>
      <c r="J24" s="57"/>
      <c r="K24" s="57"/>
      <c r="L24" s="57"/>
      <c r="M24" s="57"/>
      <c r="N24" s="57"/>
    </row>
    <row r="25" spans="1:14" ht="24.5" customHeight="1">
      <c r="A25" s="56" t="s">
        <v>144</v>
      </c>
      <c r="B25" s="53">
        <f t="shared" ref="B25:N25" si="4">B10-B23</f>
        <v>-46713.749999999993</v>
      </c>
      <c r="C25" s="53">
        <f t="shared" si="4"/>
        <v>-34898.333333333336</v>
      </c>
      <c r="D25" s="53">
        <f t="shared" si="4"/>
        <v>-23744.583333333336</v>
      </c>
      <c r="E25" s="53">
        <f t="shared" si="4"/>
        <v>-22155.672816666673</v>
      </c>
      <c r="F25" s="53">
        <f t="shared" si="4"/>
        <v>-22038.332366666677</v>
      </c>
      <c r="G25" s="53">
        <f t="shared" si="4"/>
        <v>-20820.991916666673</v>
      </c>
      <c r="H25" s="53">
        <f t="shared" si="4"/>
        <v>-24603.65146666667</v>
      </c>
      <c r="I25" s="53">
        <f t="shared" si="4"/>
        <v>-18405.061016666681</v>
      </c>
      <c r="J25" s="53">
        <f t="shared" si="4"/>
        <v>-17187.72056666667</v>
      </c>
      <c r="K25" s="53">
        <f t="shared" si="4"/>
        <v>-9789.1301166666817</v>
      </c>
      <c r="L25" s="53">
        <f t="shared" si="4"/>
        <v>-10651.436916666673</v>
      </c>
      <c r="M25" s="53">
        <f t="shared" si="4"/>
        <v>-9113.7437166666714</v>
      </c>
      <c r="N25" s="53">
        <f t="shared" si="4"/>
        <v>-346122.40756666672</v>
      </c>
    </row>
    <row r="28" spans="1:14" ht="23">
      <c r="A28" s="66" t="s">
        <v>149</v>
      </c>
    </row>
    <row r="29" spans="1:14" ht="38.75" customHeight="1">
      <c r="A29" s="49" t="s">
        <v>111</v>
      </c>
      <c r="B29" s="102" t="str">
        <f>Cover!$C$11</f>
        <v>Ellmann Consulting GmbH</v>
      </c>
    </row>
    <row r="30" spans="1:14">
      <c r="A30" s="138" t="s">
        <v>145</v>
      </c>
      <c r="B30" s="50" t="s">
        <v>115</v>
      </c>
      <c r="C30" s="50" t="s">
        <v>116</v>
      </c>
      <c r="D30" s="50" t="s">
        <v>117</v>
      </c>
      <c r="E30" s="50" t="s">
        <v>118</v>
      </c>
      <c r="F30" s="50" t="s">
        <v>119</v>
      </c>
      <c r="G30" s="50" t="s">
        <v>120</v>
      </c>
      <c r="H30" s="50" t="s">
        <v>121</v>
      </c>
      <c r="I30" s="50" t="s">
        <v>122</v>
      </c>
      <c r="J30" s="50" t="s">
        <v>123</v>
      </c>
      <c r="K30" s="50" t="s">
        <v>124</v>
      </c>
      <c r="L30" s="50" t="s">
        <v>125</v>
      </c>
      <c r="M30" s="50" t="s">
        <v>126</v>
      </c>
      <c r="N30" s="138" t="s">
        <v>127</v>
      </c>
    </row>
    <row r="31" spans="1:14">
      <c r="A31" s="138"/>
      <c r="B31" s="51">
        <f>DATE(YEAR(M5)+1,MONTH(M5)+1,DAY(M5))</f>
        <v>46388</v>
      </c>
      <c r="C31" s="51">
        <f>DATE(YEAR(B31),MONTH(B31)+1,DAY(B31))</f>
        <v>46419</v>
      </c>
      <c r="D31" s="51">
        <f t="shared" ref="D31:M31" si="5">DATE(YEAR(C31),MONTH(C31)+1,DAY(C31))</f>
        <v>46447</v>
      </c>
      <c r="E31" s="51">
        <f t="shared" si="5"/>
        <v>46478</v>
      </c>
      <c r="F31" s="51">
        <f t="shared" si="5"/>
        <v>46508</v>
      </c>
      <c r="G31" s="51">
        <f t="shared" si="5"/>
        <v>46539</v>
      </c>
      <c r="H31" s="51">
        <f t="shared" si="5"/>
        <v>46569</v>
      </c>
      <c r="I31" s="51">
        <f t="shared" si="5"/>
        <v>46600</v>
      </c>
      <c r="J31" s="51">
        <f t="shared" si="5"/>
        <v>46631</v>
      </c>
      <c r="K31" s="51">
        <f t="shared" si="5"/>
        <v>46661</v>
      </c>
      <c r="L31" s="51">
        <f t="shared" si="5"/>
        <v>46692</v>
      </c>
      <c r="M31" s="51">
        <f t="shared" si="5"/>
        <v>46722</v>
      </c>
      <c r="N31" s="138"/>
    </row>
    <row r="33" spans="1:15" ht="24" customHeight="1">
      <c r="A33" s="52" t="s">
        <v>128</v>
      </c>
      <c r="B33" s="53">
        <f>'Umsatz | COGS'!S51</f>
        <v>81680.350000000006</v>
      </c>
      <c r="C33" s="53">
        <f>'Umsatz | COGS'!T51</f>
        <v>96099.15</v>
      </c>
      <c r="D33" s="53">
        <f>'Umsatz | COGS'!U51</f>
        <v>111767.95</v>
      </c>
      <c r="E33" s="53">
        <f>'Umsatz | COGS'!V51</f>
        <v>126506.55</v>
      </c>
      <c r="F33" s="53">
        <f>'Umsatz | COGS'!W51</f>
        <v>129704.55</v>
      </c>
      <c r="G33" s="53">
        <f>'Umsatz | COGS'!X51</f>
        <v>132902.54999999999</v>
      </c>
      <c r="H33" s="53">
        <f>'Umsatz | COGS'!Y51</f>
        <v>143600.54999999999</v>
      </c>
      <c r="I33" s="53">
        <f>'Umsatz | COGS'!Z51</f>
        <v>153048.54999999999</v>
      </c>
      <c r="J33" s="53">
        <f>'Umsatz | COGS'!AA51</f>
        <v>163746.54999999999</v>
      </c>
      <c r="K33" s="53">
        <f>'Umsatz | COGS'!AB51</f>
        <v>173994.05</v>
      </c>
      <c r="L33" s="53">
        <f>'Umsatz | COGS'!AC51</f>
        <v>178151.45</v>
      </c>
      <c r="M33" s="53">
        <f>'Umsatz | COGS'!AD51</f>
        <v>182308.85</v>
      </c>
      <c r="N33" s="54">
        <f>SUM(B33:M33)</f>
        <v>1673511.1000000003</v>
      </c>
    </row>
    <row r="34" spans="1:15" ht="24" customHeight="1">
      <c r="A34" s="55" t="s">
        <v>129</v>
      </c>
      <c r="B34" s="53">
        <f>'Umsatz | COGS'!S70</f>
        <v>10095</v>
      </c>
      <c r="C34" s="53">
        <f>'Umsatz | COGS'!T70</f>
        <v>12855</v>
      </c>
      <c r="D34" s="53">
        <f>'Umsatz | COGS'!U70</f>
        <v>13215</v>
      </c>
      <c r="E34" s="53">
        <f>'Umsatz | COGS'!V70</f>
        <v>13635</v>
      </c>
      <c r="F34" s="53">
        <f>'Umsatz | COGS'!W70</f>
        <v>14235</v>
      </c>
      <c r="G34" s="53">
        <f>'Umsatz | COGS'!X70</f>
        <v>14835</v>
      </c>
      <c r="H34" s="53">
        <f>'Umsatz | COGS'!Y70</f>
        <v>16635</v>
      </c>
      <c r="I34" s="53">
        <f>'Umsatz | COGS'!Z70</f>
        <v>18435</v>
      </c>
      <c r="J34" s="53">
        <f>'Umsatz | COGS'!AA70</f>
        <v>19035</v>
      </c>
      <c r="K34" s="53">
        <f>'Umsatz | COGS'!AB70</f>
        <v>19785</v>
      </c>
      <c r="L34" s="53">
        <f>'Umsatz | COGS'!AC70</f>
        <v>20565</v>
      </c>
      <c r="M34" s="53">
        <f>'Umsatz | COGS'!AD70</f>
        <v>21345</v>
      </c>
      <c r="N34" s="54">
        <f>SUM(B34:M34)</f>
        <v>194670</v>
      </c>
    </row>
    <row r="35" spans="1:15" ht="24" customHeight="1">
      <c r="A35" s="55" t="s">
        <v>130</v>
      </c>
      <c r="B35" s="53">
        <f>'Umsatz | COGS'!S71</f>
        <v>9600</v>
      </c>
      <c r="C35" s="53">
        <f>'Umsatz | COGS'!T71</f>
        <v>9600</v>
      </c>
      <c r="D35" s="53">
        <f>'Umsatz | COGS'!U71</f>
        <v>9600</v>
      </c>
      <c r="E35" s="53">
        <f>'Umsatz | COGS'!V71</f>
        <v>14400</v>
      </c>
      <c r="F35" s="53">
        <f>'Umsatz | COGS'!W71</f>
        <v>19200</v>
      </c>
      <c r="G35" s="53">
        <f>'Umsatz | COGS'!X71</f>
        <v>19200</v>
      </c>
      <c r="H35" s="53">
        <f>'Umsatz | COGS'!Y71</f>
        <v>19200</v>
      </c>
      <c r="I35" s="53">
        <f>'Umsatz | COGS'!Z71</f>
        <v>19200</v>
      </c>
      <c r="J35" s="53">
        <f>'Umsatz | COGS'!AA71</f>
        <v>19200</v>
      </c>
      <c r="K35" s="53">
        <f>'Umsatz | COGS'!AB71</f>
        <v>21600</v>
      </c>
      <c r="L35" s="53">
        <f>'Umsatz | COGS'!AC71</f>
        <v>24000</v>
      </c>
      <c r="M35" s="53">
        <f>'Umsatz | COGS'!AD71</f>
        <v>24000</v>
      </c>
      <c r="N35" s="54">
        <f>SUM(B35:M35)</f>
        <v>208800</v>
      </c>
      <c r="O35" s="60"/>
    </row>
    <row r="36" spans="1:15" ht="24" customHeight="1">
      <c r="A36" s="56" t="s">
        <v>131</v>
      </c>
      <c r="B36" s="54">
        <f t="shared" ref="B36:N36" si="6">B33-B34-B35</f>
        <v>61985.350000000006</v>
      </c>
      <c r="C36" s="54">
        <f t="shared" si="6"/>
        <v>73644.149999999994</v>
      </c>
      <c r="D36" s="54">
        <f t="shared" si="6"/>
        <v>88952.95</v>
      </c>
      <c r="E36" s="54">
        <f t="shared" si="6"/>
        <v>98471.55</v>
      </c>
      <c r="F36" s="54">
        <f t="shared" si="6"/>
        <v>96269.55</v>
      </c>
      <c r="G36" s="54">
        <f t="shared" si="6"/>
        <v>98867.549999999988</v>
      </c>
      <c r="H36" s="54">
        <f t="shared" si="6"/>
        <v>107765.54999999999</v>
      </c>
      <c r="I36" s="54">
        <f t="shared" si="6"/>
        <v>115413.54999999999</v>
      </c>
      <c r="J36" s="54">
        <f t="shared" si="6"/>
        <v>125511.54999999999</v>
      </c>
      <c r="K36" s="54">
        <f t="shared" si="6"/>
        <v>132609.04999999999</v>
      </c>
      <c r="L36" s="54">
        <f t="shared" si="6"/>
        <v>133586.45000000001</v>
      </c>
      <c r="M36" s="54">
        <f t="shared" si="6"/>
        <v>136963.85</v>
      </c>
      <c r="N36" s="54">
        <f t="shared" si="6"/>
        <v>1270041.1000000003</v>
      </c>
    </row>
    <row r="37" spans="1:15" ht="24" customHeight="1">
      <c r="B37" s="57"/>
      <c r="C37" s="57"/>
      <c r="D37" s="57"/>
      <c r="E37" s="57"/>
      <c r="F37" s="57"/>
      <c r="G37" s="57"/>
      <c r="H37" s="57"/>
      <c r="I37" s="57"/>
      <c r="J37" s="57"/>
      <c r="K37" s="57"/>
      <c r="L37" s="57"/>
      <c r="M37" s="57"/>
      <c r="N37" s="57"/>
    </row>
    <row r="38" spans="1:15" ht="24" customHeight="1">
      <c r="A38" s="58" t="s">
        <v>132</v>
      </c>
      <c r="B38" s="59"/>
      <c r="C38" s="59"/>
      <c r="D38" s="59"/>
      <c r="E38" s="59"/>
      <c r="F38" s="59"/>
      <c r="G38" s="59"/>
      <c r="H38" s="59"/>
      <c r="I38" s="59"/>
      <c r="J38" s="59"/>
      <c r="K38" s="59"/>
      <c r="L38" s="59"/>
      <c r="M38" s="59"/>
      <c r="N38" s="59"/>
    </row>
    <row r="39" spans="1:15" ht="24" customHeight="1">
      <c r="A39" s="52" t="s">
        <v>133</v>
      </c>
      <c r="B39" s="53">
        <f>HR!S46</f>
        <v>52604.166666666672</v>
      </c>
      <c r="C39" s="53">
        <f>HR!T46</f>
        <v>52604.166666666672</v>
      </c>
      <c r="D39" s="53">
        <f>HR!U46</f>
        <v>52604.166666666672</v>
      </c>
      <c r="E39" s="53">
        <f>HR!V46</f>
        <v>52604.166666666672</v>
      </c>
      <c r="F39" s="53">
        <f>HR!W46</f>
        <v>56250.000000000007</v>
      </c>
      <c r="G39" s="53">
        <f>HR!X46</f>
        <v>56250.000000000007</v>
      </c>
      <c r="H39" s="53">
        <f>HR!Y46</f>
        <v>56250.000000000007</v>
      </c>
      <c r="I39" s="53">
        <f>HR!Z46</f>
        <v>63020.833333333343</v>
      </c>
      <c r="J39" s="53">
        <f>HR!AA46</f>
        <v>63020.833333333343</v>
      </c>
      <c r="K39" s="53">
        <f>HR!AB46</f>
        <v>63020.833333333343</v>
      </c>
      <c r="L39" s="53">
        <f>HR!AC46</f>
        <v>63020.833333333343</v>
      </c>
      <c r="M39" s="53">
        <f>HR!AD46</f>
        <v>66666.666666666672</v>
      </c>
      <c r="N39" s="54">
        <f t="shared" ref="N39:N48" si="7">SUM(B39:M39)</f>
        <v>697916.66666666674</v>
      </c>
    </row>
    <row r="40" spans="1:15" ht="24" customHeight="1">
      <c r="A40" s="35" t="s">
        <v>134</v>
      </c>
      <c r="B40" s="53">
        <f>OPEX!S23</f>
        <v>2200</v>
      </c>
      <c r="C40" s="53">
        <f>OPEX!T23</f>
        <v>2200</v>
      </c>
      <c r="D40" s="53">
        <f>OPEX!U23</f>
        <v>2200</v>
      </c>
      <c r="E40" s="53">
        <f>OPEX!V23</f>
        <v>2200</v>
      </c>
      <c r="F40" s="53">
        <f>OPEX!W23</f>
        <v>2200</v>
      </c>
      <c r="G40" s="53">
        <f>OPEX!X23</f>
        <v>2200</v>
      </c>
      <c r="H40" s="53">
        <f>OPEX!Y23</f>
        <v>2200</v>
      </c>
      <c r="I40" s="53">
        <f>OPEX!Z23</f>
        <v>2200</v>
      </c>
      <c r="J40" s="53">
        <f>OPEX!AA23</f>
        <v>2200</v>
      </c>
      <c r="K40" s="53">
        <f>OPEX!AB23</f>
        <v>2200</v>
      </c>
      <c r="L40" s="53">
        <f>OPEX!AC23</f>
        <v>2200</v>
      </c>
      <c r="M40" s="53">
        <f>OPEX!AD23</f>
        <v>2750</v>
      </c>
      <c r="N40" s="54">
        <f t="shared" si="7"/>
        <v>26950</v>
      </c>
    </row>
    <row r="41" spans="1:15" ht="24.5" customHeight="1">
      <c r="A41" s="35" t="s">
        <v>135</v>
      </c>
      <c r="B41" s="53">
        <f>OPEX!S33</f>
        <v>11300</v>
      </c>
      <c r="C41" s="53">
        <f>OPEX!T33</f>
        <v>1800</v>
      </c>
      <c r="D41" s="53">
        <f>OPEX!U33</f>
        <v>1800</v>
      </c>
      <c r="E41" s="53">
        <f>OPEX!V33</f>
        <v>1800</v>
      </c>
      <c r="F41" s="53">
        <f>OPEX!W33</f>
        <v>4500</v>
      </c>
      <c r="G41" s="53">
        <f>OPEX!X33</f>
        <v>2000</v>
      </c>
      <c r="H41" s="53">
        <f>OPEX!Y33</f>
        <v>2000</v>
      </c>
      <c r="I41" s="53">
        <f>OPEX!Z33</f>
        <v>4700</v>
      </c>
      <c r="J41" s="53">
        <f>OPEX!AA33</f>
        <v>2200</v>
      </c>
      <c r="K41" s="53">
        <f>OPEX!AB33</f>
        <v>2200</v>
      </c>
      <c r="L41" s="53">
        <f>OPEX!AC33</f>
        <v>2200</v>
      </c>
      <c r="M41" s="53">
        <f>OPEX!AD33</f>
        <v>5900</v>
      </c>
      <c r="N41" s="54">
        <f t="shared" si="7"/>
        <v>42400</v>
      </c>
    </row>
    <row r="42" spans="1:15" ht="24.5" customHeight="1">
      <c r="A42" s="35" t="s">
        <v>136</v>
      </c>
      <c r="B42" s="53">
        <f>OPEX!S41</f>
        <v>225</v>
      </c>
      <c r="C42" s="53">
        <f>OPEX!T41</f>
        <v>225</v>
      </c>
      <c r="D42" s="53">
        <f>OPEX!U41</f>
        <v>225</v>
      </c>
      <c r="E42" s="53">
        <f>OPEX!V41</f>
        <v>225</v>
      </c>
      <c r="F42" s="53">
        <f>OPEX!W41</f>
        <v>250</v>
      </c>
      <c r="G42" s="53">
        <f>OPEX!X41</f>
        <v>250</v>
      </c>
      <c r="H42" s="53">
        <f>OPEX!Y41</f>
        <v>250</v>
      </c>
      <c r="I42" s="53">
        <f>OPEX!Z41</f>
        <v>275</v>
      </c>
      <c r="J42" s="53">
        <f>OPEX!AA41</f>
        <v>275</v>
      </c>
      <c r="K42" s="53">
        <f>OPEX!AB41</f>
        <v>275</v>
      </c>
      <c r="L42" s="53">
        <f>OPEX!AC41</f>
        <v>275</v>
      </c>
      <c r="M42" s="53">
        <f>OPEX!AD41</f>
        <v>300</v>
      </c>
      <c r="N42" s="54">
        <f t="shared" si="7"/>
        <v>3050</v>
      </c>
    </row>
    <row r="43" spans="1:15" ht="24.5" customHeight="1">
      <c r="A43" s="35" t="s">
        <v>137</v>
      </c>
      <c r="B43" s="53">
        <f>OPEX!S51</f>
        <v>703.3470166666666</v>
      </c>
      <c r="C43" s="53">
        <f>OPEX!T51</f>
        <v>717.76581666666675</v>
      </c>
      <c r="D43" s="53">
        <f>OPEX!U51</f>
        <v>733.43461666666667</v>
      </c>
      <c r="E43" s="53">
        <f>OPEX!V51</f>
        <v>748.17321666666669</v>
      </c>
      <c r="F43" s="53">
        <f>OPEX!W51</f>
        <v>766.37121666666667</v>
      </c>
      <c r="G43" s="53">
        <f>OPEX!X51</f>
        <v>769.56921666666676</v>
      </c>
      <c r="H43" s="53">
        <f>OPEX!Y51</f>
        <v>780.26721666666663</v>
      </c>
      <c r="I43" s="53">
        <f>OPEX!Z51</f>
        <v>804.71521666666672</v>
      </c>
      <c r="J43" s="53">
        <f>OPEX!AA51</f>
        <v>815.41321666666659</v>
      </c>
      <c r="K43" s="53">
        <f>OPEX!AB51</f>
        <v>825.66071666666676</v>
      </c>
      <c r="L43" s="53">
        <f>OPEX!AC51</f>
        <v>829.8181166666667</v>
      </c>
      <c r="M43" s="53">
        <f>OPEX!AD51</f>
        <v>848.97551666666664</v>
      </c>
      <c r="N43" s="54">
        <f t="shared" si="7"/>
        <v>9343.5111000000015</v>
      </c>
    </row>
    <row r="44" spans="1:15" ht="24" customHeight="1">
      <c r="A44" s="35" t="s">
        <v>138</v>
      </c>
      <c r="B44" s="53">
        <f>OPEX!S60</f>
        <v>22500</v>
      </c>
      <c r="C44" s="53">
        <f>OPEX!T60</f>
        <v>22500</v>
      </c>
      <c r="D44" s="53">
        <f>OPEX!U60</f>
        <v>22500</v>
      </c>
      <c r="E44" s="53">
        <f>OPEX!V60</f>
        <v>22500</v>
      </c>
      <c r="F44" s="53">
        <f>OPEX!W60</f>
        <v>22500</v>
      </c>
      <c r="G44" s="53">
        <f>OPEX!X60</f>
        <v>22500</v>
      </c>
      <c r="H44" s="53">
        <f>OPEX!Y60</f>
        <v>27500</v>
      </c>
      <c r="I44" s="53">
        <f>OPEX!Z60</f>
        <v>27500</v>
      </c>
      <c r="J44" s="53">
        <f>OPEX!AA60</f>
        <v>27500</v>
      </c>
      <c r="K44" s="53">
        <f>OPEX!AB60</f>
        <v>27500</v>
      </c>
      <c r="L44" s="53">
        <f>OPEX!AC60</f>
        <v>27500</v>
      </c>
      <c r="M44" s="53">
        <f>OPEX!AD60</f>
        <v>27500</v>
      </c>
      <c r="N44" s="54">
        <f t="shared" si="7"/>
        <v>300000</v>
      </c>
    </row>
    <row r="45" spans="1:15" ht="24" customHeight="1">
      <c r="A45" s="35" t="s">
        <v>139</v>
      </c>
      <c r="B45" s="53">
        <f>OPEX!S67</f>
        <v>1200</v>
      </c>
      <c r="C45" s="53">
        <f>OPEX!T67</f>
        <v>1200</v>
      </c>
      <c r="D45" s="53">
        <f>OPEX!U67</f>
        <v>1200</v>
      </c>
      <c r="E45" s="53">
        <f>OPEX!V67</f>
        <v>1200</v>
      </c>
      <c r="F45" s="53">
        <f>OPEX!W67</f>
        <v>1200</v>
      </c>
      <c r="G45" s="53">
        <f>OPEX!X67</f>
        <v>1200</v>
      </c>
      <c r="H45" s="53">
        <f>OPEX!Y67</f>
        <v>1200</v>
      </c>
      <c r="I45" s="53">
        <f>OPEX!Z67</f>
        <v>1200</v>
      </c>
      <c r="J45" s="53">
        <f>OPEX!AA67</f>
        <v>1200</v>
      </c>
      <c r="K45" s="53">
        <f>OPEX!AB67</f>
        <v>1200</v>
      </c>
      <c r="L45" s="53">
        <f>OPEX!AC67</f>
        <v>1200</v>
      </c>
      <c r="M45" s="53">
        <f>OPEX!AD67</f>
        <v>1200</v>
      </c>
      <c r="N45" s="54">
        <f t="shared" si="7"/>
        <v>14400</v>
      </c>
    </row>
    <row r="46" spans="1:15" ht="24.5" customHeight="1">
      <c r="A46" s="35" t="s">
        <v>140</v>
      </c>
      <c r="B46" s="53">
        <f>OPEX!S74</f>
        <v>816.8035000000001</v>
      </c>
      <c r="C46" s="53">
        <f>OPEX!T74</f>
        <v>960.99149999999997</v>
      </c>
      <c r="D46" s="53">
        <f>OPEX!U74</f>
        <v>1117.6795</v>
      </c>
      <c r="E46" s="53">
        <f>OPEX!V74</f>
        <v>1265.0655000000002</v>
      </c>
      <c r="F46" s="53">
        <f>OPEX!W74</f>
        <v>1297.0454999999999</v>
      </c>
      <c r="G46" s="53">
        <f>OPEX!X74</f>
        <v>1329.0255</v>
      </c>
      <c r="H46" s="53">
        <f>OPEX!Y74</f>
        <v>1436.0055</v>
      </c>
      <c r="I46" s="53">
        <f>OPEX!Z74</f>
        <v>1530.4855</v>
      </c>
      <c r="J46" s="53">
        <f>OPEX!AA74</f>
        <v>1637.4655</v>
      </c>
      <c r="K46" s="53">
        <f>OPEX!AB74</f>
        <v>1739.9404999999999</v>
      </c>
      <c r="L46" s="53">
        <f>OPEX!AC74</f>
        <v>1781.5145000000002</v>
      </c>
      <c r="M46" s="53">
        <f>OPEX!AD74</f>
        <v>1823.0885000000001</v>
      </c>
      <c r="N46" s="54">
        <f t="shared" si="7"/>
        <v>16735.111000000004</v>
      </c>
    </row>
    <row r="47" spans="1:15" ht="24.5" customHeight="1">
      <c r="A47" s="35" t="s">
        <v>141</v>
      </c>
      <c r="B47" s="53">
        <f>Finanzierung!S24</f>
        <v>2166.6666666666665</v>
      </c>
      <c r="C47" s="53">
        <f>Finanzierung!T24</f>
        <v>2149.9667895990115</v>
      </c>
      <c r="D47" s="53">
        <f>Finanzierung!U24</f>
        <v>2133.211246274464</v>
      </c>
      <c r="E47" s="53">
        <f>Finanzierung!V24</f>
        <v>2116.3998511388345</v>
      </c>
      <c r="F47" s="53">
        <f>Finanzierung!W24</f>
        <v>2099.5324180194198</v>
      </c>
      <c r="G47" s="53">
        <f>Finanzierung!X24</f>
        <v>2082.6087601229401</v>
      </c>
      <c r="H47" s="53">
        <f>Finanzierung!Y24</f>
        <v>2065.6286900334721</v>
      </c>
      <c r="I47" s="53">
        <f>Finanzierung!Z24</f>
        <v>2048.5920197103733</v>
      </c>
      <c r="J47" s="53">
        <f>Finanzierung!AA24</f>
        <v>2031.4985604861968</v>
      </c>
      <c r="K47" s="53">
        <f>Finanzierung!AB24</f>
        <v>2014.3481230646066</v>
      </c>
      <c r="L47" s="53">
        <f>Finanzierung!AC24</f>
        <v>1997.1405175182779</v>
      </c>
      <c r="M47" s="53">
        <f>Finanzierung!AD24</f>
        <v>1979.8755532867947</v>
      </c>
      <c r="N47" s="54">
        <f t="shared" si="7"/>
        <v>24885.469195921061</v>
      </c>
    </row>
    <row r="48" spans="1:15" ht="24.5" customHeight="1">
      <c r="A48" s="35" t="s">
        <v>142</v>
      </c>
      <c r="B48" s="53">
        <f>CAPEX!S29</f>
        <v>5000</v>
      </c>
      <c r="C48" s="53">
        <f>CAPEX!T29</f>
        <v>5000</v>
      </c>
      <c r="D48" s="53">
        <f>CAPEX!U29</f>
        <v>5000</v>
      </c>
      <c r="E48" s="53">
        <f>CAPEX!V29</f>
        <v>5000</v>
      </c>
      <c r="F48" s="53">
        <f>CAPEX!W29</f>
        <v>5000</v>
      </c>
      <c r="G48" s="53">
        <f>CAPEX!X29</f>
        <v>5000</v>
      </c>
      <c r="H48" s="53">
        <f>CAPEX!Y29</f>
        <v>5000</v>
      </c>
      <c r="I48" s="53">
        <f>CAPEX!Z29</f>
        <v>5000</v>
      </c>
      <c r="J48" s="53">
        <f>CAPEX!AA29</f>
        <v>5000</v>
      </c>
      <c r="K48" s="53">
        <f>CAPEX!AB29</f>
        <v>5000</v>
      </c>
      <c r="L48" s="53">
        <f>CAPEX!AC29</f>
        <v>5000</v>
      </c>
      <c r="M48" s="53">
        <f>CAPEX!AD29</f>
        <v>5000</v>
      </c>
      <c r="N48" s="54">
        <f t="shared" si="7"/>
        <v>60000</v>
      </c>
    </row>
    <row r="49" spans="1:14" ht="24" customHeight="1">
      <c r="A49" s="56" t="s">
        <v>143</v>
      </c>
      <c r="B49" s="54">
        <f t="shared" ref="B49:M49" si="8">SUM(B39:B46)</f>
        <v>91549.317183333333</v>
      </c>
      <c r="C49" s="54">
        <f t="shared" si="8"/>
        <v>82207.923983333341</v>
      </c>
      <c r="D49" s="54">
        <f t="shared" si="8"/>
        <v>82380.280783333335</v>
      </c>
      <c r="E49" s="54">
        <f t="shared" si="8"/>
        <v>82542.405383333331</v>
      </c>
      <c r="F49" s="54">
        <f t="shared" si="8"/>
        <v>88963.416716666674</v>
      </c>
      <c r="G49" s="54">
        <f t="shared" si="8"/>
        <v>86498.594716666674</v>
      </c>
      <c r="H49" s="54">
        <f t="shared" si="8"/>
        <v>91616.272716666674</v>
      </c>
      <c r="I49" s="54">
        <f t="shared" si="8"/>
        <v>101231.03405</v>
      </c>
      <c r="J49" s="54">
        <f t="shared" si="8"/>
        <v>98848.712050000016</v>
      </c>
      <c r="K49" s="54">
        <f t="shared" si="8"/>
        <v>98961.434550000005</v>
      </c>
      <c r="L49" s="54">
        <f t="shared" si="8"/>
        <v>99007.16595000001</v>
      </c>
      <c r="M49" s="54">
        <f t="shared" si="8"/>
        <v>106988.73068333334</v>
      </c>
      <c r="N49" s="54">
        <f>SUM(N39:N48)</f>
        <v>1195680.7579625878</v>
      </c>
    </row>
    <row r="50" spans="1:14" ht="24" customHeight="1">
      <c r="B50" s="57"/>
      <c r="C50" s="57"/>
      <c r="D50" s="57"/>
      <c r="E50" s="57"/>
      <c r="F50" s="57"/>
      <c r="G50" s="57"/>
      <c r="H50" s="57"/>
      <c r="I50" s="57"/>
      <c r="J50" s="57"/>
      <c r="K50" s="57"/>
      <c r="L50" s="57"/>
      <c r="M50" s="57"/>
      <c r="N50" s="57"/>
    </row>
    <row r="51" spans="1:14" ht="24" customHeight="1">
      <c r="A51" s="56" t="s">
        <v>144</v>
      </c>
      <c r="B51" s="53">
        <f t="shared" ref="B51:N51" si="9">B36-B49</f>
        <v>-29563.967183333327</v>
      </c>
      <c r="C51" s="53">
        <f t="shared" si="9"/>
        <v>-8563.7739833333471</v>
      </c>
      <c r="D51" s="53">
        <f t="shared" si="9"/>
        <v>6572.6692166666617</v>
      </c>
      <c r="E51" s="53">
        <f t="shared" si="9"/>
        <v>15929.144616666672</v>
      </c>
      <c r="F51" s="53">
        <f t="shared" si="9"/>
        <v>7306.133283333329</v>
      </c>
      <c r="G51" s="53">
        <f t="shared" si="9"/>
        <v>12368.955283333315</v>
      </c>
      <c r="H51" s="53">
        <f t="shared" si="9"/>
        <v>16149.277283333315</v>
      </c>
      <c r="I51" s="53">
        <f t="shared" si="9"/>
        <v>14182.515949999986</v>
      </c>
      <c r="J51" s="53">
        <f t="shared" si="9"/>
        <v>26662.837949999972</v>
      </c>
      <c r="K51" s="53">
        <f t="shared" si="9"/>
        <v>33647.615449999983</v>
      </c>
      <c r="L51" s="53">
        <f t="shared" si="9"/>
        <v>34579.284050000002</v>
      </c>
      <c r="M51" s="53">
        <f t="shared" si="9"/>
        <v>29975.119316666664</v>
      </c>
      <c r="N51" s="53">
        <f t="shared" si="9"/>
        <v>74360.342037412571</v>
      </c>
    </row>
    <row r="54" spans="1:14" ht="23">
      <c r="A54" s="66" t="s">
        <v>150</v>
      </c>
    </row>
    <row r="55" spans="1:14" ht="38.75" customHeight="1">
      <c r="A55" s="49" t="s">
        <v>111</v>
      </c>
      <c r="B55" s="102" t="str">
        <f>Cover!$C$11</f>
        <v>Ellmann Consulting GmbH</v>
      </c>
    </row>
    <row r="56" spans="1:14">
      <c r="A56" s="138" t="s">
        <v>146</v>
      </c>
      <c r="B56" s="50" t="s">
        <v>115</v>
      </c>
      <c r="C56" s="50" t="s">
        <v>116</v>
      </c>
      <c r="D56" s="50" t="s">
        <v>117</v>
      </c>
      <c r="E56" s="50" t="s">
        <v>118</v>
      </c>
      <c r="F56" s="50" t="s">
        <v>119</v>
      </c>
      <c r="G56" s="50" t="s">
        <v>120</v>
      </c>
      <c r="H56" s="50" t="s">
        <v>121</v>
      </c>
      <c r="I56" s="50" t="s">
        <v>122</v>
      </c>
      <c r="J56" s="50" t="s">
        <v>123</v>
      </c>
      <c r="K56" s="50" t="s">
        <v>124</v>
      </c>
      <c r="L56" s="50" t="s">
        <v>125</v>
      </c>
      <c r="M56" s="50" t="s">
        <v>126</v>
      </c>
      <c r="N56" s="138" t="s">
        <v>127</v>
      </c>
    </row>
    <row r="57" spans="1:14">
      <c r="A57" s="138"/>
      <c r="B57" s="51">
        <f>DATE(YEAR(M31)+1,MONTH(M31)+1,DAY(M31))</f>
        <v>47119</v>
      </c>
      <c r="C57" s="51">
        <f>DATE(YEAR(B57),MONTH(B57)+1,DAY(B57))</f>
        <v>47150</v>
      </c>
      <c r="D57" s="51">
        <f t="shared" ref="D57:M57" si="10">DATE(YEAR(C57),MONTH(C57)+1,DAY(C57))</f>
        <v>47178</v>
      </c>
      <c r="E57" s="51">
        <f t="shared" si="10"/>
        <v>47209</v>
      </c>
      <c r="F57" s="51">
        <f t="shared" si="10"/>
        <v>47239</v>
      </c>
      <c r="G57" s="51">
        <f t="shared" si="10"/>
        <v>47270</v>
      </c>
      <c r="H57" s="51">
        <f t="shared" si="10"/>
        <v>47300</v>
      </c>
      <c r="I57" s="51">
        <f t="shared" si="10"/>
        <v>47331</v>
      </c>
      <c r="J57" s="51">
        <f t="shared" si="10"/>
        <v>47362</v>
      </c>
      <c r="K57" s="51">
        <f t="shared" si="10"/>
        <v>47392</v>
      </c>
      <c r="L57" s="51">
        <f t="shared" si="10"/>
        <v>47423</v>
      </c>
      <c r="M57" s="51">
        <f t="shared" si="10"/>
        <v>47453</v>
      </c>
      <c r="N57" s="138"/>
    </row>
    <row r="59" spans="1:14" ht="24" customHeight="1">
      <c r="A59" s="52" t="s">
        <v>128</v>
      </c>
      <c r="B59" s="53">
        <f>'Umsatz | COGS'!AE51</f>
        <v>200775.9</v>
      </c>
      <c r="C59" s="53">
        <f>'Umsatz | COGS'!AF51</f>
        <v>217992.95</v>
      </c>
      <c r="D59" s="53">
        <f>'Umsatz | COGS'!AG51</f>
        <v>236460</v>
      </c>
      <c r="E59" s="53">
        <f>'Umsatz | COGS'!AH51</f>
        <v>254636.45</v>
      </c>
      <c r="F59" s="53">
        <f>'Umsatz | COGS'!AI51</f>
        <v>261272.3</v>
      </c>
      <c r="G59" s="53">
        <f>'Umsatz | COGS'!AJ51</f>
        <v>267908.15000000002</v>
      </c>
      <c r="H59" s="53">
        <f>'Umsatz | COGS'!AK51</f>
        <v>277044</v>
      </c>
      <c r="I59" s="53">
        <f>'Umsatz | COGS'!AL51</f>
        <v>292429.84999999998</v>
      </c>
      <c r="J59" s="53">
        <f>'Umsatz | COGS'!AM51</f>
        <v>301565.7</v>
      </c>
      <c r="K59" s="53">
        <f>'Umsatz | COGS'!AN51</f>
        <v>317111.45</v>
      </c>
      <c r="L59" s="53">
        <f>'Umsatz | COGS'!AO51</f>
        <v>323907.20000000001</v>
      </c>
      <c r="M59" s="53">
        <f>'Umsatz | COGS'!AP51</f>
        <v>330702.95</v>
      </c>
      <c r="N59" s="54">
        <f>SUM(B59:M59)</f>
        <v>3281806.9000000008</v>
      </c>
    </row>
    <row r="60" spans="1:14" ht="24" customHeight="1">
      <c r="A60" s="55" t="s">
        <v>129</v>
      </c>
      <c r="B60" s="53">
        <f>'Umsatz | COGS'!AE70</f>
        <v>24630</v>
      </c>
      <c r="C60" s="53">
        <f>'Umsatz | COGS'!AF70</f>
        <v>27915</v>
      </c>
      <c r="D60" s="53">
        <f>'Umsatz | COGS'!AG70</f>
        <v>28800</v>
      </c>
      <c r="E60" s="53">
        <f>'Umsatz | COGS'!AH70</f>
        <v>29865</v>
      </c>
      <c r="F60" s="53">
        <f>'Umsatz | COGS'!AI70</f>
        <v>31110</v>
      </c>
      <c r="G60" s="53">
        <f>'Umsatz | COGS'!AJ70</f>
        <v>32355</v>
      </c>
      <c r="H60" s="53">
        <f>'Umsatz | COGS'!AK70</f>
        <v>34200</v>
      </c>
      <c r="I60" s="53">
        <f>'Umsatz | COGS'!AL70</f>
        <v>36645</v>
      </c>
      <c r="J60" s="53">
        <f>'Umsatz | COGS'!AM70</f>
        <v>37890</v>
      </c>
      <c r="K60" s="53">
        <f>'Umsatz | COGS'!AN70</f>
        <v>39165</v>
      </c>
      <c r="L60" s="53">
        <f>'Umsatz | COGS'!AO70</f>
        <v>40440</v>
      </c>
      <c r="M60" s="53">
        <f>'Umsatz | COGS'!AP70</f>
        <v>41715</v>
      </c>
      <c r="N60" s="54">
        <f>SUM(B60:M60)</f>
        <v>404730</v>
      </c>
    </row>
    <row r="61" spans="1:14" ht="24" customHeight="1">
      <c r="A61" s="55" t="s">
        <v>130</v>
      </c>
      <c r="B61" s="53">
        <f>'Umsatz | COGS'!AE71</f>
        <v>24000</v>
      </c>
      <c r="C61" s="53">
        <f>'Umsatz | COGS'!AF71</f>
        <v>24000</v>
      </c>
      <c r="D61" s="53">
        <f>'Umsatz | COGS'!AG71</f>
        <v>24000</v>
      </c>
      <c r="E61" s="53">
        <f>'Umsatz | COGS'!AH71</f>
        <v>28800</v>
      </c>
      <c r="F61" s="53">
        <f>'Umsatz | COGS'!AI71</f>
        <v>33600</v>
      </c>
      <c r="G61" s="53">
        <f>'Umsatz | COGS'!AJ71</f>
        <v>33600</v>
      </c>
      <c r="H61" s="53">
        <f>'Umsatz | COGS'!AK71</f>
        <v>33600</v>
      </c>
      <c r="I61" s="53">
        <f>'Umsatz | COGS'!AL71</f>
        <v>33600</v>
      </c>
      <c r="J61" s="53">
        <f>'Umsatz | COGS'!AM71</f>
        <v>33600</v>
      </c>
      <c r="K61" s="53">
        <f>'Umsatz | COGS'!AN71</f>
        <v>34800</v>
      </c>
      <c r="L61" s="53">
        <f>'Umsatz | COGS'!AO71</f>
        <v>37200</v>
      </c>
      <c r="M61" s="53">
        <f>'Umsatz | COGS'!AP71</f>
        <v>37200</v>
      </c>
      <c r="N61" s="54">
        <f>SUM(B61:M61)</f>
        <v>378000</v>
      </c>
    </row>
    <row r="62" spans="1:14" ht="24" customHeight="1">
      <c r="A62" s="56" t="s">
        <v>131</v>
      </c>
      <c r="B62" s="54">
        <f t="shared" ref="B62:N62" si="11">B59-B60-B61</f>
        <v>152145.9</v>
      </c>
      <c r="C62" s="54">
        <f t="shared" si="11"/>
        <v>166077.95000000001</v>
      </c>
      <c r="D62" s="54">
        <f t="shared" si="11"/>
        <v>183660</v>
      </c>
      <c r="E62" s="54">
        <f t="shared" si="11"/>
        <v>195971.45</v>
      </c>
      <c r="F62" s="54">
        <f t="shared" si="11"/>
        <v>196562.3</v>
      </c>
      <c r="G62" s="54">
        <f t="shared" si="11"/>
        <v>201953.15000000002</v>
      </c>
      <c r="H62" s="54">
        <f t="shared" si="11"/>
        <v>209244</v>
      </c>
      <c r="I62" s="54">
        <f t="shared" si="11"/>
        <v>222184.84999999998</v>
      </c>
      <c r="J62" s="54">
        <f t="shared" si="11"/>
        <v>230075.7</v>
      </c>
      <c r="K62" s="54">
        <f t="shared" si="11"/>
        <v>243146.45</v>
      </c>
      <c r="L62" s="54">
        <f t="shared" si="11"/>
        <v>246267.2</v>
      </c>
      <c r="M62" s="54">
        <f t="shared" si="11"/>
        <v>251787.95</v>
      </c>
      <c r="N62" s="54">
        <f t="shared" si="11"/>
        <v>2499076.9000000008</v>
      </c>
    </row>
    <row r="63" spans="1:14" ht="24" customHeight="1">
      <c r="B63" s="57"/>
      <c r="C63" s="57"/>
      <c r="D63" s="57"/>
      <c r="E63" s="57"/>
      <c r="F63" s="57"/>
      <c r="G63" s="57"/>
      <c r="H63" s="57"/>
      <c r="I63" s="57"/>
      <c r="J63" s="57"/>
      <c r="K63" s="57"/>
      <c r="L63" s="57"/>
      <c r="M63" s="57"/>
      <c r="N63" s="57"/>
    </row>
    <row r="64" spans="1:14" ht="24" customHeight="1">
      <c r="A64" s="58" t="s">
        <v>132</v>
      </c>
      <c r="B64" s="59"/>
      <c r="C64" s="59"/>
      <c r="D64" s="59"/>
      <c r="E64" s="59"/>
      <c r="F64" s="59"/>
      <c r="G64" s="59"/>
      <c r="H64" s="59"/>
      <c r="I64" s="59"/>
      <c r="J64" s="59"/>
      <c r="K64" s="59"/>
      <c r="L64" s="59"/>
      <c r="M64" s="59"/>
      <c r="N64" s="59"/>
    </row>
    <row r="65" spans="1:14" ht="24" customHeight="1">
      <c r="A65" s="52" t="s">
        <v>133</v>
      </c>
      <c r="B65" s="53">
        <f>HR!AE46</f>
        <v>66666.666666666672</v>
      </c>
      <c r="C65" s="53">
        <f>HR!AF46</f>
        <v>73437.5</v>
      </c>
      <c r="D65" s="53">
        <f>HR!AG46</f>
        <v>73437.5</v>
      </c>
      <c r="E65" s="53">
        <f>HR!AH46</f>
        <v>73437.5</v>
      </c>
      <c r="F65" s="53">
        <f>HR!AI46</f>
        <v>77083.333333333328</v>
      </c>
      <c r="G65" s="53">
        <f>HR!AJ46</f>
        <v>77083.333333333328</v>
      </c>
      <c r="H65" s="53">
        <f>HR!AK46</f>
        <v>77083.333333333328</v>
      </c>
      <c r="I65" s="53">
        <f>HR!AL46</f>
        <v>80729.166666666672</v>
      </c>
      <c r="J65" s="53">
        <f>HR!AM46</f>
        <v>80729.166666666672</v>
      </c>
      <c r="K65" s="53">
        <f>HR!AN46</f>
        <v>80729.166666666672</v>
      </c>
      <c r="L65" s="53">
        <f>HR!AO46</f>
        <v>80729.166666666672</v>
      </c>
      <c r="M65" s="53">
        <f>HR!AP46</f>
        <v>84375</v>
      </c>
      <c r="N65" s="54">
        <f t="shared" ref="N65:N74" si="12">SUM(B65:M65)</f>
        <v>925520.83333333314</v>
      </c>
    </row>
    <row r="66" spans="1:14" ht="24" customHeight="1">
      <c r="A66" s="35" t="s">
        <v>134</v>
      </c>
      <c r="B66" s="53">
        <f>OPEX!AE23</f>
        <v>2750</v>
      </c>
      <c r="C66" s="53">
        <f>OPEX!AF23</f>
        <v>2750</v>
      </c>
      <c r="D66" s="53">
        <f>OPEX!AG23</f>
        <v>2750</v>
      </c>
      <c r="E66" s="53">
        <f>OPEX!AH23</f>
        <v>2750</v>
      </c>
      <c r="F66" s="53">
        <f>OPEX!AI23</f>
        <v>3300</v>
      </c>
      <c r="G66" s="53">
        <f>OPEX!AJ23</f>
        <v>3300</v>
      </c>
      <c r="H66" s="53">
        <f>OPEX!AK23</f>
        <v>3300</v>
      </c>
      <c r="I66" s="53">
        <f>OPEX!AL23</f>
        <v>3300</v>
      </c>
      <c r="J66" s="53">
        <f>OPEX!AM23</f>
        <v>3300</v>
      </c>
      <c r="K66" s="53">
        <f>OPEX!AN23</f>
        <v>3300</v>
      </c>
      <c r="L66" s="53">
        <f>OPEX!AO23</f>
        <v>3300</v>
      </c>
      <c r="M66" s="53">
        <f>OPEX!AP23</f>
        <v>3300</v>
      </c>
      <c r="N66" s="54">
        <f t="shared" si="12"/>
        <v>37400</v>
      </c>
    </row>
    <row r="67" spans="1:14" ht="24.5" customHeight="1">
      <c r="A67" s="35" t="s">
        <v>135</v>
      </c>
      <c r="B67" s="53">
        <f>OPEX!AE33</f>
        <v>2400</v>
      </c>
      <c r="C67" s="53">
        <f>OPEX!AF33</f>
        <v>5100</v>
      </c>
      <c r="D67" s="53">
        <f>OPEX!AG33</f>
        <v>2600</v>
      </c>
      <c r="E67" s="53">
        <f>OPEX!AH33</f>
        <v>2600</v>
      </c>
      <c r="F67" s="53">
        <f>OPEX!AI33</f>
        <v>6300</v>
      </c>
      <c r="G67" s="53">
        <f>OPEX!AJ33</f>
        <v>2800</v>
      </c>
      <c r="H67" s="53">
        <f>OPEX!AK33</f>
        <v>2800</v>
      </c>
      <c r="I67" s="53">
        <f>OPEX!AL33</f>
        <v>5500</v>
      </c>
      <c r="J67" s="53">
        <f>OPEX!AM33</f>
        <v>3000</v>
      </c>
      <c r="K67" s="53">
        <f>OPEX!AN33</f>
        <v>3000</v>
      </c>
      <c r="L67" s="53">
        <f>OPEX!AO33</f>
        <v>3000</v>
      </c>
      <c r="M67" s="53">
        <f>OPEX!AP33</f>
        <v>5700</v>
      </c>
      <c r="N67" s="54">
        <f t="shared" si="12"/>
        <v>44800</v>
      </c>
    </row>
    <row r="68" spans="1:14" ht="24.5" customHeight="1">
      <c r="A68" s="35" t="s">
        <v>136</v>
      </c>
      <c r="B68" s="53">
        <f>OPEX!AE41</f>
        <v>300</v>
      </c>
      <c r="C68" s="53">
        <f>OPEX!AF41</f>
        <v>325</v>
      </c>
      <c r="D68" s="53">
        <f>OPEX!AG41</f>
        <v>325</v>
      </c>
      <c r="E68" s="53">
        <f>OPEX!AH41</f>
        <v>325</v>
      </c>
      <c r="F68" s="53">
        <f>OPEX!AI41</f>
        <v>350</v>
      </c>
      <c r="G68" s="53">
        <f>OPEX!AJ41</f>
        <v>350</v>
      </c>
      <c r="H68" s="53">
        <f>OPEX!AK41</f>
        <v>350</v>
      </c>
      <c r="I68" s="53">
        <f>OPEX!AL41</f>
        <v>375</v>
      </c>
      <c r="J68" s="53">
        <f>OPEX!AM41</f>
        <v>375</v>
      </c>
      <c r="K68" s="53">
        <f>OPEX!AN41</f>
        <v>375</v>
      </c>
      <c r="L68" s="53">
        <f>OPEX!AO41</f>
        <v>375</v>
      </c>
      <c r="M68" s="53">
        <f>OPEX!AP41</f>
        <v>400</v>
      </c>
      <c r="N68" s="54">
        <f t="shared" si="12"/>
        <v>4225</v>
      </c>
    </row>
    <row r="69" spans="1:14" ht="24.5" customHeight="1">
      <c r="A69" s="35" t="s">
        <v>137</v>
      </c>
      <c r="B69" s="53">
        <f>OPEX!AE51</f>
        <v>867.44256666666661</v>
      </c>
      <c r="C69" s="53">
        <f>OPEX!AF51</f>
        <v>899.65961666666669</v>
      </c>
      <c r="D69" s="53">
        <f>OPEX!AG51</f>
        <v>918.12666666666678</v>
      </c>
      <c r="E69" s="53">
        <f>OPEX!AH51</f>
        <v>936.30311666666671</v>
      </c>
      <c r="F69" s="53">
        <f>OPEX!AI51</f>
        <v>957.9389666666666</v>
      </c>
      <c r="G69" s="53">
        <f>OPEX!AJ51</f>
        <v>964.57481666666672</v>
      </c>
      <c r="H69" s="53">
        <f>OPEX!AK51</f>
        <v>973.71066666666661</v>
      </c>
      <c r="I69" s="53">
        <f>OPEX!AL51</f>
        <v>1004.0965166666667</v>
      </c>
      <c r="J69" s="53">
        <f>OPEX!AM51</f>
        <v>1013.2323666666666</v>
      </c>
      <c r="K69" s="53">
        <f>OPEX!AN51</f>
        <v>1028.7781166666666</v>
      </c>
      <c r="L69" s="53">
        <f>OPEX!AO51</f>
        <v>1035.5738666666666</v>
      </c>
      <c r="M69" s="53">
        <f>OPEX!AP51</f>
        <v>1057.3696166666666</v>
      </c>
      <c r="N69" s="54">
        <f t="shared" si="12"/>
        <v>11656.8069</v>
      </c>
    </row>
    <row r="70" spans="1:14" ht="24" customHeight="1">
      <c r="A70" s="35" t="s">
        <v>138</v>
      </c>
      <c r="B70" s="53">
        <f>OPEX!AE60</f>
        <v>30500</v>
      </c>
      <c r="C70" s="53">
        <f>OPEX!AF60</f>
        <v>30500</v>
      </c>
      <c r="D70" s="53">
        <f>OPEX!AG60</f>
        <v>30500</v>
      </c>
      <c r="E70" s="53">
        <f>OPEX!AH60</f>
        <v>30500</v>
      </c>
      <c r="F70" s="53">
        <f>OPEX!AI60</f>
        <v>30500</v>
      </c>
      <c r="G70" s="53">
        <f>OPEX!AJ60</f>
        <v>30500</v>
      </c>
      <c r="H70" s="53">
        <f>OPEX!AK60</f>
        <v>32500</v>
      </c>
      <c r="I70" s="53">
        <f>OPEX!AL60</f>
        <v>32500</v>
      </c>
      <c r="J70" s="53">
        <f>OPEX!AM60</f>
        <v>32500</v>
      </c>
      <c r="K70" s="53">
        <f>OPEX!AN60</f>
        <v>32500</v>
      </c>
      <c r="L70" s="53">
        <f>OPEX!AO60</f>
        <v>32500</v>
      </c>
      <c r="M70" s="53">
        <f>OPEX!AP60</f>
        <v>32500</v>
      </c>
      <c r="N70" s="54">
        <f t="shared" si="12"/>
        <v>378000</v>
      </c>
    </row>
    <row r="71" spans="1:14" ht="24" customHeight="1">
      <c r="A71" s="35" t="s">
        <v>139</v>
      </c>
      <c r="B71" s="53">
        <f>OPEX!AE67</f>
        <v>1200</v>
      </c>
      <c r="C71" s="53">
        <f>OPEX!AF67</f>
        <v>1800</v>
      </c>
      <c r="D71" s="53">
        <f>OPEX!AG67</f>
        <v>1800</v>
      </c>
      <c r="E71" s="53">
        <f>OPEX!AH67</f>
        <v>1800</v>
      </c>
      <c r="F71" s="53">
        <f>OPEX!AI67</f>
        <v>1800</v>
      </c>
      <c r="G71" s="53">
        <f>OPEX!AJ67</f>
        <v>1800</v>
      </c>
      <c r="H71" s="53">
        <f>OPEX!AK67</f>
        <v>1800</v>
      </c>
      <c r="I71" s="53">
        <f>OPEX!AL67</f>
        <v>1800</v>
      </c>
      <c r="J71" s="53">
        <f>OPEX!AM67</f>
        <v>1800</v>
      </c>
      <c r="K71" s="53">
        <f>OPEX!AN67</f>
        <v>1800</v>
      </c>
      <c r="L71" s="53">
        <f>OPEX!AO67</f>
        <v>1800</v>
      </c>
      <c r="M71" s="53">
        <f>OPEX!AP67</f>
        <v>1800</v>
      </c>
      <c r="N71" s="54">
        <f t="shared" si="12"/>
        <v>21000</v>
      </c>
    </row>
    <row r="72" spans="1:14" ht="24.5" customHeight="1">
      <c r="A72" s="35" t="s">
        <v>140</v>
      </c>
      <c r="B72" s="53">
        <f>OPEX!AE74</f>
        <v>2007.759</v>
      </c>
      <c r="C72" s="53">
        <f>OPEX!AF74</f>
        <v>2179.9295000000002</v>
      </c>
      <c r="D72" s="53">
        <f>OPEX!AG74</f>
        <v>2364.6</v>
      </c>
      <c r="E72" s="53">
        <f>OPEX!AH74</f>
        <v>2546.3645000000001</v>
      </c>
      <c r="F72" s="53">
        <f>OPEX!AI74</f>
        <v>2612.723</v>
      </c>
      <c r="G72" s="53">
        <f>OPEX!AJ74</f>
        <v>2679.0815000000002</v>
      </c>
      <c r="H72" s="53">
        <f>OPEX!AK74</f>
        <v>2770.44</v>
      </c>
      <c r="I72" s="53">
        <f>OPEX!AL74</f>
        <v>2924.2984999999999</v>
      </c>
      <c r="J72" s="53">
        <f>OPEX!AM74</f>
        <v>3015.6570000000002</v>
      </c>
      <c r="K72" s="53">
        <f>OPEX!AN74</f>
        <v>3171.1145000000001</v>
      </c>
      <c r="L72" s="53">
        <f>OPEX!AO74</f>
        <v>3239.0720000000001</v>
      </c>
      <c r="M72" s="53">
        <f>OPEX!AP74</f>
        <v>3307.0295000000001</v>
      </c>
      <c r="N72" s="54">
        <f t="shared" si="12"/>
        <v>32818.068999999996</v>
      </c>
    </row>
    <row r="73" spans="1:14" ht="24.5" customHeight="1">
      <c r="A73" s="35" t="s">
        <v>141</v>
      </c>
      <c r="B73" s="53">
        <f>Finanzierung!AE24</f>
        <v>1962.5530391745397</v>
      </c>
      <c r="C73" s="53">
        <f>Finanzierung!AF24</f>
        <v>1945.1727833485775</v>
      </c>
      <c r="D73" s="53">
        <f>Finanzierung!AG24</f>
        <v>1927.7345933365286</v>
      </c>
      <c r="E73" s="53">
        <f>Finanzierung!AH24</f>
        <v>1910.2382760244393</v>
      </c>
      <c r="F73" s="53">
        <f>Finanzierung!AI24</f>
        <v>1892.6836376546437</v>
      </c>
      <c r="G73" s="53">
        <f>Finanzierung!AJ24</f>
        <v>1875.0704838236149</v>
      </c>
      <c r="H73" s="53">
        <f>Finanzierung!AK24</f>
        <v>1857.398619479816</v>
      </c>
      <c r="I73" s="53">
        <f>Finanzierung!AL24</f>
        <v>1839.6678489215376</v>
      </c>
      <c r="J73" s="53">
        <f>Finanzierung!AM24</f>
        <v>1821.877975794732</v>
      </c>
      <c r="K73" s="53">
        <f>Finanzierung!AN24</f>
        <v>1804.0288030908368</v>
      </c>
      <c r="L73" s="53">
        <f>Finanzierung!AO24</f>
        <v>1786.1201331445955</v>
      </c>
      <c r="M73" s="53">
        <f>Finanzierung!AP24</f>
        <v>1768.1517676318665</v>
      </c>
      <c r="N73" s="54">
        <f t="shared" si="12"/>
        <v>22390.697961425725</v>
      </c>
    </row>
    <row r="74" spans="1:14" ht="24.5" customHeight="1">
      <c r="A74" s="35" t="s">
        <v>142</v>
      </c>
      <c r="B74" s="53">
        <f>CAPEX!AE29</f>
        <v>5000</v>
      </c>
      <c r="C74" s="53">
        <f>CAPEX!AF29</f>
        <v>5000</v>
      </c>
      <c r="D74" s="53">
        <f>CAPEX!AG29</f>
        <v>5000</v>
      </c>
      <c r="E74" s="53">
        <f>CAPEX!AH29</f>
        <v>5000</v>
      </c>
      <c r="F74" s="53">
        <f>CAPEX!AI29</f>
        <v>5000</v>
      </c>
      <c r="G74" s="53">
        <f>CAPEX!AJ29</f>
        <v>5000</v>
      </c>
      <c r="H74" s="53">
        <f>CAPEX!AK29</f>
        <v>5000</v>
      </c>
      <c r="I74" s="53">
        <f>CAPEX!AL29</f>
        <v>5000</v>
      </c>
      <c r="J74" s="53">
        <f>CAPEX!AM29</f>
        <v>5000</v>
      </c>
      <c r="K74" s="53">
        <f>CAPEX!AN29</f>
        <v>5000</v>
      </c>
      <c r="L74" s="53">
        <f>CAPEX!AO29</f>
        <v>5000</v>
      </c>
      <c r="M74" s="53">
        <f>CAPEX!AP29</f>
        <v>5000</v>
      </c>
      <c r="N74" s="54">
        <f t="shared" si="12"/>
        <v>60000</v>
      </c>
    </row>
    <row r="75" spans="1:14" ht="24" customHeight="1">
      <c r="A75" s="56" t="s">
        <v>143</v>
      </c>
      <c r="B75" s="54">
        <f t="shared" ref="B75:M75" si="13">SUM(B65:B72)</f>
        <v>106691.86823333334</v>
      </c>
      <c r="C75" s="54">
        <f t="shared" si="13"/>
        <v>116992.08911666667</v>
      </c>
      <c r="D75" s="54">
        <f t="shared" si="13"/>
        <v>114695.22666666667</v>
      </c>
      <c r="E75" s="54">
        <f t="shared" si="13"/>
        <v>114895.16761666666</v>
      </c>
      <c r="F75" s="54">
        <f t="shared" si="13"/>
        <v>122903.9953</v>
      </c>
      <c r="G75" s="54">
        <f t="shared" si="13"/>
        <v>119476.98964999999</v>
      </c>
      <c r="H75" s="54">
        <f t="shared" si="13"/>
        <v>121577.484</v>
      </c>
      <c r="I75" s="54">
        <f t="shared" si="13"/>
        <v>128132.56168333335</v>
      </c>
      <c r="J75" s="54">
        <f t="shared" si="13"/>
        <v>125733.05603333334</v>
      </c>
      <c r="K75" s="54">
        <f t="shared" si="13"/>
        <v>125904.05928333334</v>
      </c>
      <c r="L75" s="54">
        <f t="shared" si="13"/>
        <v>125978.81253333334</v>
      </c>
      <c r="M75" s="54">
        <f t="shared" si="13"/>
        <v>132439.39911666667</v>
      </c>
      <c r="N75" s="54">
        <f>SUM(N65:N74)</f>
        <v>1537811.4071947588</v>
      </c>
    </row>
    <row r="76" spans="1:14" ht="24" customHeight="1">
      <c r="B76" s="57"/>
      <c r="C76" s="57"/>
      <c r="D76" s="57"/>
      <c r="E76" s="57"/>
      <c r="F76" s="57"/>
      <c r="G76" s="57"/>
      <c r="H76" s="57"/>
      <c r="I76" s="57"/>
      <c r="J76" s="57"/>
      <c r="K76" s="57"/>
      <c r="L76" s="57"/>
      <c r="M76" s="57"/>
      <c r="N76" s="57"/>
    </row>
    <row r="77" spans="1:14" ht="24" customHeight="1">
      <c r="A77" s="56" t="s">
        <v>144</v>
      </c>
      <c r="B77" s="53">
        <f t="shared" ref="B77:N77" si="14">B62-B75</f>
        <v>45454.031766666652</v>
      </c>
      <c r="C77" s="53">
        <f t="shared" si="14"/>
        <v>49085.860883333342</v>
      </c>
      <c r="D77" s="53">
        <f t="shared" si="14"/>
        <v>68964.773333333331</v>
      </c>
      <c r="E77" s="53">
        <f t="shared" si="14"/>
        <v>81076.282383333353</v>
      </c>
      <c r="F77" s="53">
        <f t="shared" si="14"/>
        <v>73658.304699999993</v>
      </c>
      <c r="G77" s="53">
        <f t="shared" si="14"/>
        <v>82476.160350000035</v>
      </c>
      <c r="H77" s="53">
        <f t="shared" si="14"/>
        <v>87666.516000000003</v>
      </c>
      <c r="I77" s="53">
        <f t="shared" si="14"/>
        <v>94052.288316666629</v>
      </c>
      <c r="J77" s="53">
        <f t="shared" si="14"/>
        <v>104342.64396666667</v>
      </c>
      <c r="K77" s="53">
        <f t="shared" si="14"/>
        <v>117242.39071666668</v>
      </c>
      <c r="L77" s="53">
        <f t="shared" si="14"/>
        <v>120288.38746666667</v>
      </c>
      <c r="M77" s="53">
        <f t="shared" si="14"/>
        <v>119348.55088333334</v>
      </c>
      <c r="N77" s="53">
        <f t="shared" si="14"/>
        <v>961265.49280524207</v>
      </c>
    </row>
    <row r="81" spans="1:11" s="13" customFormat="1" ht="30" customHeight="1">
      <c r="B81" s="133" t="s">
        <v>318</v>
      </c>
      <c r="C81" s="133"/>
      <c r="D81" s="133"/>
    </row>
    <row r="82" spans="1:11" s="13" customFormat="1" ht="15"/>
    <row r="83" spans="1:11" s="74" customFormat="1" ht="15"/>
    <row r="84" spans="1:11" s="75" customFormat="1" ht="15">
      <c r="A84" s="75" t="s">
        <v>197</v>
      </c>
      <c r="B84" s="76">
        <v>1</v>
      </c>
      <c r="C84" s="76">
        <v>2</v>
      </c>
      <c r="D84" s="76">
        <v>3</v>
      </c>
      <c r="E84" s="76">
        <v>4</v>
      </c>
      <c r="F84" s="76">
        <v>5</v>
      </c>
      <c r="G84" s="76">
        <v>6</v>
      </c>
      <c r="H84" s="76">
        <v>7</v>
      </c>
      <c r="I84" s="76">
        <v>8</v>
      </c>
      <c r="J84" s="76">
        <v>9</v>
      </c>
      <c r="K84" s="76"/>
    </row>
    <row r="85" spans="1:11" s="75" customFormat="1" ht="15">
      <c r="A85" s="75" t="s">
        <v>196</v>
      </c>
      <c r="B85" s="76" t="s">
        <v>195</v>
      </c>
      <c r="C85" s="76" t="s">
        <v>17</v>
      </c>
      <c r="D85" s="76" t="s">
        <v>31</v>
      </c>
      <c r="E85" s="76" t="s">
        <v>49</v>
      </c>
      <c r="F85" s="76" t="s">
        <v>80</v>
      </c>
      <c r="G85" s="76" t="s">
        <v>271</v>
      </c>
      <c r="H85" s="76" t="s">
        <v>272</v>
      </c>
      <c r="I85" s="76" t="s">
        <v>110</v>
      </c>
      <c r="J85" s="76" t="s">
        <v>273</v>
      </c>
      <c r="K85" s="76"/>
    </row>
    <row r="86" spans="1:11" s="75" customFormat="1" ht="15">
      <c r="A86" s="75" t="s">
        <v>238</v>
      </c>
      <c r="B86" s="85"/>
      <c r="C86" s="85"/>
      <c r="D86" s="85"/>
      <c r="E86" s="85"/>
      <c r="F86" s="85"/>
      <c r="G86" s="85"/>
    </row>
    <row r="87" spans="1:11" s="75" customFormat="1" ht="15"/>
  </sheetData>
  <mergeCells count="7">
    <mergeCell ref="B81:D81"/>
    <mergeCell ref="A56:A57"/>
    <mergeCell ref="N56:N57"/>
    <mergeCell ref="A4:A5"/>
    <mergeCell ref="N4:N5"/>
    <mergeCell ref="A30:A31"/>
    <mergeCell ref="N30:N31"/>
  </mergeCells>
  <hyperlinks>
    <hyperlink ref="B81:D81" location="Liquiditätsplan!A1" display="'-&gt; Zur Liquiditätsplanung" xr:uid="{0787C09B-8FBC-48EB-A09E-EB8514BF7D67}"/>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1F094-B138-4DA8-8FC6-9983A3FA1DC5}">
  <sheetPr>
    <tabColor rgb="FF00B050"/>
  </sheetPr>
  <dimension ref="A1:S116"/>
  <sheetViews>
    <sheetView showGridLines="0" zoomScaleNormal="100" workbookViewId="0"/>
  </sheetViews>
  <sheetFormatPr baseColWidth="10" defaultColWidth="8.1640625" defaultRowHeight="16"/>
  <cols>
    <col min="1" max="1" width="30.6640625" style="49" bestFit="1" customWidth="1"/>
    <col min="2" max="14" width="13.1640625" style="49" customWidth="1"/>
    <col min="15" max="15" width="18.1640625" style="49" customWidth="1"/>
    <col min="16" max="16" width="17.1640625" style="49" customWidth="1"/>
    <col min="17" max="17" width="7.83203125" style="49" customWidth="1"/>
    <col min="18" max="18" width="13.1640625" style="49" bestFit="1" customWidth="1"/>
    <col min="19" max="19" width="12.5" style="49" customWidth="1"/>
    <col min="20" max="20" width="11.6640625" style="49" bestFit="1" customWidth="1"/>
    <col min="21" max="16384" width="8.1640625" style="49"/>
  </cols>
  <sheetData>
    <row r="1" spans="1:16" ht="23">
      <c r="A1" s="66" t="s">
        <v>174</v>
      </c>
      <c r="P1" s="123" t="s">
        <v>315</v>
      </c>
    </row>
    <row r="2" spans="1:16" ht="24">
      <c r="A2" s="48"/>
    </row>
    <row r="3" spans="1:16">
      <c r="A3" s="49" t="s">
        <v>111</v>
      </c>
      <c r="B3" s="102" t="str">
        <f>Cover!$C$11</f>
        <v>Ellmann Consulting GmbH</v>
      </c>
      <c r="F3" s="49" t="s">
        <v>112</v>
      </c>
      <c r="G3" s="103">
        <v>1</v>
      </c>
      <c r="H3" s="139" t="s">
        <v>113</v>
      </c>
      <c r="I3" s="139"/>
      <c r="J3" s="139"/>
    </row>
    <row r="4" spans="1:16">
      <c r="A4" s="138" t="s">
        <v>114</v>
      </c>
      <c r="B4" s="50" t="s">
        <v>115</v>
      </c>
      <c r="C4" s="50" t="s">
        <v>116</v>
      </c>
      <c r="D4" s="50" t="s">
        <v>117</v>
      </c>
      <c r="E4" s="50" t="s">
        <v>118</v>
      </c>
      <c r="F4" s="50" t="s">
        <v>119</v>
      </c>
      <c r="G4" s="50" t="s">
        <v>120</v>
      </c>
      <c r="H4" s="50" t="s">
        <v>121</v>
      </c>
      <c r="I4" s="50" t="s">
        <v>122</v>
      </c>
      <c r="J4" s="50" t="s">
        <v>123</v>
      </c>
      <c r="K4" s="50" t="s">
        <v>124</v>
      </c>
      <c r="L4" s="50" t="s">
        <v>125</v>
      </c>
      <c r="M4" s="50" t="s">
        <v>126</v>
      </c>
      <c r="N4" s="138" t="s">
        <v>127</v>
      </c>
      <c r="O4" s="61"/>
    </row>
    <row r="5" spans="1:16">
      <c r="A5" s="138"/>
      <c r="B5" s="106">
        <f>DATE(YEAR(Cover!$C$15),MONTH(Cover!$C$15),DAY(Cover!$C$15))</f>
        <v>45658</v>
      </c>
      <c r="C5" s="51">
        <f t="shared" ref="C5:M5" si="0">DATE(YEAR(B5),MONTH(B5)+1,DAY(B5))</f>
        <v>45689</v>
      </c>
      <c r="D5" s="51">
        <f t="shared" si="0"/>
        <v>45717</v>
      </c>
      <c r="E5" s="51">
        <f t="shared" si="0"/>
        <v>45748</v>
      </c>
      <c r="F5" s="51">
        <f t="shared" si="0"/>
        <v>45778</v>
      </c>
      <c r="G5" s="51">
        <f t="shared" si="0"/>
        <v>45809</v>
      </c>
      <c r="H5" s="51">
        <f t="shared" si="0"/>
        <v>45839</v>
      </c>
      <c r="I5" s="51">
        <f t="shared" si="0"/>
        <v>45870</v>
      </c>
      <c r="J5" s="51">
        <f t="shared" si="0"/>
        <v>45901</v>
      </c>
      <c r="K5" s="51">
        <f t="shared" si="0"/>
        <v>45931</v>
      </c>
      <c r="L5" s="51">
        <f t="shared" si="0"/>
        <v>45962</v>
      </c>
      <c r="M5" s="51">
        <f t="shared" si="0"/>
        <v>45992</v>
      </c>
      <c r="N5" s="138"/>
      <c r="O5" s="61"/>
    </row>
    <row r="7" spans="1:16" ht="24" customHeight="1">
      <c r="A7" s="52" t="s">
        <v>151</v>
      </c>
      <c r="B7" s="53">
        <f>Cover!C16</f>
        <v>25000</v>
      </c>
      <c r="C7" s="53">
        <f>B35</f>
        <v>326119.58333333331</v>
      </c>
      <c r="D7" s="53">
        <f t="shared" ref="D7:M7" si="1">C35</f>
        <v>289054.58333333331</v>
      </c>
      <c r="E7" s="53">
        <f t="shared" si="1"/>
        <v>263143.33333333331</v>
      </c>
      <c r="F7" s="53">
        <f t="shared" si="1"/>
        <v>238820.99384999997</v>
      </c>
      <c r="G7" s="53">
        <f t="shared" si="1"/>
        <v>214615.99481666664</v>
      </c>
      <c r="H7" s="53">
        <f t="shared" si="1"/>
        <v>191628.33623333331</v>
      </c>
      <c r="I7" s="53">
        <f t="shared" si="1"/>
        <v>164858.01809999996</v>
      </c>
      <c r="J7" s="53">
        <f t="shared" si="1"/>
        <v>144286.2904166666</v>
      </c>
      <c r="K7" s="53">
        <f>J35</f>
        <v>124931.90318333326</v>
      </c>
      <c r="L7" s="53">
        <f t="shared" si="1"/>
        <v>112976.1063999999</v>
      </c>
      <c r="M7" s="53">
        <f t="shared" si="1"/>
        <v>100158.00281666656</v>
      </c>
      <c r="N7" s="53"/>
      <c r="O7" s="62"/>
    </row>
    <row r="8" spans="1:16" ht="24.5" customHeight="1">
      <c r="A8" s="58" t="s">
        <v>152</v>
      </c>
      <c r="B8" s="59"/>
      <c r="C8" s="59"/>
      <c r="D8" s="59"/>
      <c r="E8" s="59"/>
      <c r="F8" s="59"/>
      <c r="G8" s="59"/>
      <c r="H8" s="59"/>
      <c r="I8" s="59"/>
      <c r="J8" s="59"/>
      <c r="K8" s="59"/>
      <c r="L8" s="59"/>
      <c r="M8" s="59"/>
      <c r="N8" s="59"/>
      <c r="O8" s="60"/>
    </row>
    <row r="9" spans="1:16" ht="24.5" customHeight="1">
      <c r="A9" s="52" t="s">
        <v>153</v>
      </c>
      <c r="B9" s="53">
        <f>IF($G$3=1,'Umsatz- und Ertragsvorschau'!B7,0)</f>
        <v>8750</v>
      </c>
      <c r="C9" s="53">
        <f>IF($G$3=1,'Umsatz- und Ertragsvorschau'!C7,'Umsatz- und Ertragsvorschau'!B7)</f>
        <v>20000</v>
      </c>
      <c r="D9" s="53">
        <f>IF($G$3=1,'Umsatz- und Ertragsvorschau'!D7,'Umsatz- und Ertragsvorschau'!C7)</f>
        <v>28750</v>
      </c>
      <c r="E9" s="53">
        <f>IF($G$3=1,'Umsatz- und Ertragsvorschau'!E7,'Umsatz- und Ertragsvorschau'!D7)</f>
        <v>40559.65</v>
      </c>
      <c r="F9" s="53">
        <f>IF($G$3=1,'Umsatz- und Ertragsvorschau'!F7,'Umsatz- und Ertragsvorschau'!E7)</f>
        <v>42078.7</v>
      </c>
      <c r="G9" s="53">
        <f>IF($G$3=1,'Umsatz- und Ertragsvorschau'!G7,'Umsatz- und Ertragsvorschau'!F7)</f>
        <v>43597.75</v>
      </c>
      <c r="H9" s="53">
        <f>IF($G$3=1,'Umsatz- und Ertragsvorschau'!H7,'Umsatz- und Ertragsvorschau'!G7)</f>
        <v>45116.800000000003</v>
      </c>
      <c r="I9" s="53">
        <f>IF($G$3=1,'Umsatz- und Ertragsvorschau'!I7,'Umsatz- und Ertragsvorschau'!H7)</f>
        <v>52885.85</v>
      </c>
      <c r="J9" s="53">
        <f>IF($G$3=1,'Umsatz- und Ertragsvorschau'!J7,'Umsatz- und Ertragsvorschau'!I7)</f>
        <v>54404.9</v>
      </c>
      <c r="K9" s="53">
        <f>IF($G$3=1,'Umsatz- und Ertragsvorschau'!K7,'Umsatz- und Ertragsvorschau'!J7)</f>
        <v>62173.95</v>
      </c>
      <c r="L9" s="53">
        <f>IF($G$3=1,'Umsatz- und Ertragsvorschau'!L7,'Umsatz- und Ertragsvorschau'!K7)</f>
        <v>64092.75</v>
      </c>
      <c r="M9" s="53">
        <f>IF($G$3=1,'Umsatz- und Ertragsvorschau'!M7,'Umsatz- und Ertragsvorschau'!L7)</f>
        <v>66011.55</v>
      </c>
      <c r="N9" s="54">
        <f>SUM(B9:M9)</f>
        <v>528421.9</v>
      </c>
      <c r="O9" s="62"/>
    </row>
    <row r="10" spans="1:16" ht="24.5" customHeight="1">
      <c r="A10" s="55" t="s">
        <v>154</v>
      </c>
      <c r="B10" s="104">
        <f>Finanzierung!G8</f>
        <v>650000</v>
      </c>
      <c r="C10" s="104"/>
      <c r="D10" s="104"/>
      <c r="E10" s="104"/>
      <c r="F10" s="104">
        <f>Finanzierung!K17</f>
        <v>0</v>
      </c>
      <c r="G10" s="104"/>
      <c r="H10" s="104"/>
      <c r="I10" s="104"/>
      <c r="J10" s="104"/>
      <c r="K10" s="104"/>
      <c r="L10" s="104"/>
      <c r="M10" s="104"/>
      <c r="N10" s="54">
        <f>SUM(B10:M10)</f>
        <v>650000</v>
      </c>
      <c r="O10" s="62"/>
    </row>
    <row r="11" spans="1:16" ht="24.5" customHeight="1">
      <c r="A11" s="55" t="s">
        <v>155</v>
      </c>
      <c r="B11" s="104">
        <f>Finanzierung!G33</f>
        <v>0</v>
      </c>
      <c r="C11" s="104">
        <f>Finanzierung!H33</f>
        <v>0</v>
      </c>
      <c r="D11" s="104">
        <f>Finanzierung!I33</f>
        <v>0</v>
      </c>
      <c r="E11" s="104">
        <f>Finanzierung!J33</f>
        <v>0</v>
      </c>
      <c r="F11" s="104">
        <f>Finanzierung!K33</f>
        <v>0</v>
      </c>
      <c r="G11" s="104">
        <f>Finanzierung!L33</f>
        <v>0</v>
      </c>
      <c r="H11" s="104">
        <f>Finanzierung!M33</f>
        <v>0</v>
      </c>
      <c r="I11" s="104">
        <f>Finanzierung!N33</f>
        <v>0</v>
      </c>
      <c r="J11" s="104">
        <f>Finanzierung!O33</f>
        <v>0</v>
      </c>
      <c r="K11" s="104">
        <f>Finanzierung!P33</f>
        <v>0</v>
      </c>
      <c r="L11" s="104">
        <f>Finanzierung!Q33</f>
        <v>0</v>
      </c>
      <c r="M11" s="104">
        <f>Finanzierung!R33</f>
        <v>0</v>
      </c>
      <c r="N11" s="54">
        <f>SUM(B11:M11)</f>
        <v>0</v>
      </c>
      <c r="O11" s="62"/>
    </row>
    <row r="12" spans="1:16" ht="24.5" customHeight="1">
      <c r="A12" s="56" t="s">
        <v>156</v>
      </c>
      <c r="B12" s="54">
        <f t="shared" ref="B12:M12" si="2">SUM(B9:B11)</f>
        <v>658750</v>
      </c>
      <c r="C12" s="54">
        <f t="shared" si="2"/>
        <v>20000</v>
      </c>
      <c r="D12" s="54">
        <f t="shared" si="2"/>
        <v>28750</v>
      </c>
      <c r="E12" s="54">
        <f t="shared" si="2"/>
        <v>40559.65</v>
      </c>
      <c r="F12" s="54">
        <f t="shared" si="2"/>
        <v>42078.7</v>
      </c>
      <c r="G12" s="54">
        <f t="shared" si="2"/>
        <v>43597.75</v>
      </c>
      <c r="H12" s="54">
        <f t="shared" si="2"/>
        <v>45116.800000000003</v>
      </c>
      <c r="I12" s="54">
        <f t="shared" si="2"/>
        <v>52885.85</v>
      </c>
      <c r="J12" s="54">
        <f t="shared" si="2"/>
        <v>54404.9</v>
      </c>
      <c r="K12" s="54">
        <f t="shared" si="2"/>
        <v>62173.95</v>
      </c>
      <c r="L12" s="54">
        <f t="shared" si="2"/>
        <v>64092.75</v>
      </c>
      <c r="M12" s="54">
        <f t="shared" si="2"/>
        <v>66011.55</v>
      </c>
      <c r="N12" s="54">
        <f>SUM(B12:M12)</f>
        <v>1178421.9000000001</v>
      </c>
      <c r="O12" s="62"/>
    </row>
    <row r="13" spans="1:16" ht="24.5" customHeight="1">
      <c r="A13" s="56" t="s">
        <v>157</v>
      </c>
      <c r="B13" s="54">
        <f t="shared" ref="B13:M13" si="3">B7+B12</f>
        <v>683750</v>
      </c>
      <c r="C13" s="54">
        <f t="shared" si="3"/>
        <v>346119.58333333331</v>
      </c>
      <c r="D13" s="54">
        <f t="shared" si="3"/>
        <v>317804.58333333331</v>
      </c>
      <c r="E13" s="54">
        <f t="shared" si="3"/>
        <v>303702.98333333334</v>
      </c>
      <c r="F13" s="54">
        <f t="shared" si="3"/>
        <v>280899.69384999998</v>
      </c>
      <c r="G13" s="54">
        <f t="shared" si="3"/>
        <v>258213.74481666664</v>
      </c>
      <c r="H13" s="54">
        <f t="shared" si="3"/>
        <v>236745.13623333332</v>
      </c>
      <c r="I13" s="54">
        <f t="shared" si="3"/>
        <v>217743.86809999996</v>
      </c>
      <c r="J13" s="54">
        <f t="shared" si="3"/>
        <v>198691.19041666659</v>
      </c>
      <c r="K13" s="54">
        <f t="shared" si="3"/>
        <v>187105.85318333324</v>
      </c>
      <c r="L13" s="54">
        <f t="shared" si="3"/>
        <v>177068.8563999999</v>
      </c>
      <c r="M13" s="54">
        <f t="shared" si="3"/>
        <v>166169.55281666655</v>
      </c>
      <c r="N13" s="54"/>
      <c r="O13" s="62"/>
    </row>
    <row r="14" spans="1:16" ht="24.5" customHeight="1">
      <c r="B14" s="57"/>
      <c r="C14" s="57"/>
      <c r="D14" s="57"/>
      <c r="E14" s="57"/>
      <c r="F14" s="57"/>
      <c r="G14" s="57"/>
      <c r="H14" s="57"/>
      <c r="I14" s="57"/>
      <c r="J14" s="57"/>
      <c r="K14" s="57"/>
      <c r="L14" s="57"/>
      <c r="M14" s="57"/>
      <c r="N14" s="57"/>
      <c r="O14" s="60"/>
    </row>
    <row r="15" spans="1:16" ht="24.5" customHeight="1">
      <c r="A15" s="58" t="s">
        <v>158</v>
      </c>
      <c r="B15" s="59"/>
      <c r="C15" s="59"/>
      <c r="D15" s="59"/>
      <c r="E15" s="59"/>
      <c r="F15" s="59"/>
      <c r="G15" s="59"/>
      <c r="H15" s="59"/>
      <c r="I15" s="59"/>
      <c r="J15" s="59"/>
      <c r="K15" s="59"/>
      <c r="L15" s="59"/>
      <c r="M15" s="59"/>
      <c r="N15" s="59"/>
      <c r="O15" s="60"/>
    </row>
    <row r="16" spans="1:16" ht="24.5" customHeight="1">
      <c r="A16" s="55" t="s">
        <v>88</v>
      </c>
      <c r="B16" s="53">
        <f>CAPEX!G28</f>
        <v>300000</v>
      </c>
      <c r="C16" s="53">
        <f>CAPEX!H28</f>
        <v>0</v>
      </c>
      <c r="D16" s="53">
        <f>CAPEX!I28</f>
        <v>0</v>
      </c>
      <c r="E16" s="53">
        <f>CAPEX!J28</f>
        <v>0</v>
      </c>
      <c r="F16" s="53">
        <f>CAPEX!K28</f>
        <v>0</v>
      </c>
      <c r="G16" s="53">
        <f>CAPEX!L28</f>
        <v>0</v>
      </c>
      <c r="H16" s="53">
        <f>CAPEX!M28</f>
        <v>0</v>
      </c>
      <c r="I16" s="53">
        <f>CAPEX!N28</f>
        <v>0</v>
      </c>
      <c r="J16" s="53">
        <f>CAPEX!O28</f>
        <v>0</v>
      </c>
      <c r="K16" s="53">
        <f>CAPEX!P28</f>
        <v>0</v>
      </c>
      <c r="L16" s="53">
        <f>CAPEX!Q28</f>
        <v>0</v>
      </c>
      <c r="M16" s="53">
        <f>CAPEX!R28</f>
        <v>0</v>
      </c>
      <c r="N16" s="54">
        <f t="shared" ref="N16:N27" si="4">SUM(B16:M16)</f>
        <v>300000</v>
      </c>
      <c r="O16" s="62"/>
    </row>
    <row r="17" spans="1:19" ht="24.5" customHeight="1">
      <c r="A17" s="55" t="s">
        <v>159</v>
      </c>
      <c r="B17" s="53">
        <f>'Umsatz- und Ertragsvorschau'!B8</f>
        <v>1800</v>
      </c>
      <c r="C17" s="53">
        <f>'Umsatz- und Ertragsvorschau'!C8</f>
        <v>3600</v>
      </c>
      <c r="D17" s="53">
        <f>'Umsatz- und Ertragsvorschau'!D8</f>
        <v>3600</v>
      </c>
      <c r="E17" s="53">
        <f>'Umsatz- und Ertragsvorschau'!E8</f>
        <v>3705</v>
      </c>
      <c r="F17" s="53">
        <f>'Umsatz- und Ertragsvorschau'!F8</f>
        <v>3990</v>
      </c>
      <c r="G17" s="53">
        <f>'Umsatz- und Ertragsvorschau'!G8</f>
        <v>4275</v>
      </c>
      <c r="H17" s="53">
        <f>'Umsatz- und Ertragsvorschau'!H8</f>
        <v>4560</v>
      </c>
      <c r="I17" s="53">
        <f>'Umsatz- und Ertragsvorschau'!I8</f>
        <v>6045</v>
      </c>
      <c r="J17" s="53">
        <f>'Umsatz- und Ertragsvorschau'!J8</f>
        <v>6330</v>
      </c>
      <c r="K17" s="53">
        <f>'Umsatz- und Ertragsvorschau'!K8</f>
        <v>6615</v>
      </c>
      <c r="L17" s="53">
        <f>'Umsatz- und Ertragsvorschau'!L8</f>
        <v>6975</v>
      </c>
      <c r="M17" s="53">
        <f>'Umsatz- und Ertragsvorschau'!M8</f>
        <v>7335</v>
      </c>
      <c r="N17" s="54">
        <f t="shared" si="4"/>
        <v>58830</v>
      </c>
      <c r="O17" s="62"/>
    </row>
    <row r="18" spans="1:19" ht="24.5" customHeight="1">
      <c r="A18" s="55" t="s">
        <v>160</v>
      </c>
      <c r="B18" s="53">
        <f>'Umsatz- und Ertragsvorschau'!B9</f>
        <v>0</v>
      </c>
      <c r="C18" s="53">
        <f>'Umsatz- und Ertragsvorschau'!C9</f>
        <v>0</v>
      </c>
      <c r="D18" s="53">
        <f>'Umsatz- und Ertragsvorschau'!D9</f>
        <v>0</v>
      </c>
      <c r="E18" s="53">
        <f>'Umsatz- und Ertragsvorschau'!E9</f>
        <v>3600</v>
      </c>
      <c r="F18" s="53">
        <f>'Umsatz- und Ertragsvorschau'!F9</f>
        <v>7200</v>
      </c>
      <c r="G18" s="53">
        <f>'Umsatz- und Ertragsvorschau'!G9</f>
        <v>7200</v>
      </c>
      <c r="H18" s="53">
        <f>'Umsatz- und Ertragsvorschau'!H9</f>
        <v>7200</v>
      </c>
      <c r="I18" s="53">
        <f>'Umsatz- und Ertragsvorschau'!I9</f>
        <v>7200</v>
      </c>
      <c r="J18" s="53">
        <f>'Umsatz- und Ertragsvorschau'!J9</f>
        <v>7200</v>
      </c>
      <c r="K18" s="53">
        <f>'Umsatz- und Ertragsvorschau'!K9</f>
        <v>7200</v>
      </c>
      <c r="L18" s="53">
        <f>'Umsatz- und Ertragsvorschau'!L9</f>
        <v>9600</v>
      </c>
      <c r="M18" s="53">
        <f>'Umsatz- und Ertragsvorschau'!M9</f>
        <v>9600</v>
      </c>
      <c r="N18" s="54">
        <f t="shared" si="4"/>
        <v>66000</v>
      </c>
      <c r="O18" s="62"/>
    </row>
    <row r="19" spans="1:19" ht="24.5" customHeight="1">
      <c r="A19" s="55" t="s">
        <v>161</v>
      </c>
      <c r="B19" s="53">
        <f>'Umsatz- und Ertragsvorschau'!B13</f>
        <v>25520.833333333328</v>
      </c>
      <c r="C19" s="53">
        <f>'Umsatz- und Ertragsvorschau'!C13</f>
        <v>32291.666666666672</v>
      </c>
      <c r="D19" s="53">
        <f>'Umsatz- und Ertragsvorschau'!D13</f>
        <v>32291.666666666672</v>
      </c>
      <c r="E19" s="53">
        <f>'Umsatz- und Ertragsvorschau'!E13</f>
        <v>35937.500000000007</v>
      </c>
      <c r="F19" s="53">
        <f>'Umsatz- und Ertragsvorschau'!F13</f>
        <v>35937.500000000007</v>
      </c>
      <c r="G19" s="53">
        <f>'Umsatz- und Ertragsvorschau'!G13</f>
        <v>35937.500000000007</v>
      </c>
      <c r="H19" s="53">
        <f>'Umsatz- und Ertragsvorschau'!H13</f>
        <v>35937.500000000007</v>
      </c>
      <c r="I19" s="53">
        <f>'Umsatz- und Ertragsvorschau'!I13</f>
        <v>35937.500000000007</v>
      </c>
      <c r="J19" s="53">
        <f>'Umsatz- und Ertragsvorschau'!J13</f>
        <v>35937.500000000007</v>
      </c>
      <c r="K19" s="53">
        <f>'Umsatz- und Ertragsvorschau'!K13</f>
        <v>35937.500000000007</v>
      </c>
      <c r="L19" s="53">
        <f>'Umsatz- und Ertragsvorschau'!L13</f>
        <v>35937.500000000007</v>
      </c>
      <c r="M19" s="53">
        <f>'Umsatz- und Ertragsvorschau'!M13</f>
        <v>35937.500000000007</v>
      </c>
      <c r="N19" s="54">
        <f t="shared" si="4"/>
        <v>413541.66666666669</v>
      </c>
      <c r="O19" s="62"/>
    </row>
    <row r="20" spans="1:19" ht="24.5" customHeight="1">
      <c r="A20" s="35" t="s">
        <v>134</v>
      </c>
      <c r="B20" s="53">
        <f>'Umsatz- und Ertragsvorschau'!B14</f>
        <v>1500</v>
      </c>
      <c r="C20" s="53">
        <f>'Umsatz- und Ertragsvorschau'!C14</f>
        <v>1500</v>
      </c>
      <c r="D20" s="53">
        <f>'Umsatz- und Ertragsvorschau'!D14</f>
        <v>1500</v>
      </c>
      <c r="E20" s="53">
        <f>'Umsatz- und Ertragsvorschau'!E14</f>
        <v>1500</v>
      </c>
      <c r="F20" s="53">
        <f>'Umsatz- und Ertragsvorschau'!F14</f>
        <v>1500</v>
      </c>
      <c r="G20" s="53">
        <f>'Umsatz- und Ertragsvorschau'!G14</f>
        <v>1500</v>
      </c>
      <c r="H20" s="53">
        <f>'Umsatz- und Ertragsvorschau'!H14</f>
        <v>1500</v>
      </c>
      <c r="I20" s="53">
        <f>'Umsatz- und Ertragsvorschau'!I14</f>
        <v>1500</v>
      </c>
      <c r="J20" s="53">
        <f>'Umsatz- und Ertragsvorschau'!J14</f>
        <v>1500</v>
      </c>
      <c r="K20" s="53">
        <f>'Umsatz- und Ertragsvorschau'!K14</f>
        <v>1500</v>
      </c>
      <c r="L20" s="53">
        <f>'Umsatz- und Ertragsvorschau'!L14</f>
        <v>1500</v>
      </c>
      <c r="M20" s="53">
        <f>'Umsatz- und Ertragsvorschau'!M14</f>
        <v>1500</v>
      </c>
      <c r="N20" s="54">
        <f t="shared" si="4"/>
        <v>18000</v>
      </c>
      <c r="O20" s="62"/>
    </row>
    <row r="21" spans="1:19" ht="24.5" customHeight="1">
      <c r="A21" s="35" t="s">
        <v>135</v>
      </c>
      <c r="B21" s="53">
        <f>'Umsatz- und Ertragsvorschau'!B15</f>
        <v>12800</v>
      </c>
      <c r="C21" s="53">
        <f>'Umsatz- und Ertragsvorschau'!C15</f>
        <v>3500</v>
      </c>
      <c r="D21" s="53">
        <f>'Umsatz- und Ertragsvorschau'!D15</f>
        <v>1000</v>
      </c>
      <c r="E21" s="53">
        <f>'Umsatz- und Ertragsvorschau'!E15</f>
        <v>3700</v>
      </c>
      <c r="F21" s="53">
        <f>'Umsatz- und Ertragsvorschau'!F15</f>
        <v>1200</v>
      </c>
      <c r="G21" s="53">
        <f>'Umsatz- und Ertragsvorschau'!G15</f>
        <v>1200</v>
      </c>
      <c r="H21" s="53">
        <f>'Umsatz- und Ertragsvorschau'!H15</f>
        <v>1200</v>
      </c>
      <c r="I21" s="53">
        <f>'Umsatz- und Ertragsvorschau'!I15</f>
        <v>1200</v>
      </c>
      <c r="J21" s="53">
        <f>'Umsatz- und Ertragsvorschau'!J15</f>
        <v>1200</v>
      </c>
      <c r="K21" s="53">
        <f>'Umsatz- und Ertragsvorschau'!K15</f>
        <v>1200</v>
      </c>
      <c r="L21" s="53">
        <f>'Umsatz- und Ertragsvorschau'!L15</f>
        <v>1200</v>
      </c>
      <c r="M21" s="53">
        <f>'Umsatz- und Ertragsvorschau'!M15</f>
        <v>1200</v>
      </c>
      <c r="N21" s="54">
        <f t="shared" si="4"/>
        <v>30600</v>
      </c>
      <c r="O21" s="62"/>
    </row>
    <row r="22" spans="1:19" ht="24.5" customHeight="1">
      <c r="A22" s="35" t="s">
        <v>136</v>
      </c>
      <c r="B22" s="53">
        <f>'Umsatz- und Ertragsvorschau'!B16</f>
        <v>100</v>
      </c>
      <c r="C22" s="53">
        <f>'Umsatz- und Ertragsvorschau'!C16</f>
        <v>125</v>
      </c>
      <c r="D22" s="53">
        <f>'Umsatz- und Ertragsvorschau'!D16</f>
        <v>125</v>
      </c>
      <c r="E22" s="53">
        <f>'Umsatz- und Ertragsvorschau'!E16</f>
        <v>150</v>
      </c>
      <c r="F22" s="53">
        <f>'Umsatz- und Ertragsvorschau'!F16</f>
        <v>150</v>
      </c>
      <c r="G22" s="53">
        <f>'Umsatz- und Ertragsvorschau'!G16</f>
        <v>150</v>
      </c>
      <c r="H22" s="53">
        <f>'Umsatz- und Ertragsvorschau'!H16</f>
        <v>150</v>
      </c>
      <c r="I22" s="53">
        <f>'Umsatz- und Ertragsvorschau'!I16</f>
        <v>150</v>
      </c>
      <c r="J22" s="53">
        <f>'Umsatz- und Ertragsvorschau'!J16</f>
        <v>150</v>
      </c>
      <c r="K22" s="53">
        <f>'Umsatz- und Ertragsvorschau'!K16</f>
        <v>150</v>
      </c>
      <c r="L22" s="53">
        <f>'Umsatz- und Ertragsvorschau'!L16</f>
        <v>150</v>
      </c>
      <c r="M22" s="53">
        <f>'Umsatz- und Ertragsvorschau'!M16</f>
        <v>150</v>
      </c>
      <c r="N22" s="54">
        <f t="shared" si="4"/>
        <v>1700</v>
      </c>
      <c r="O22" s="62"/>
    </row>
    <row r="23" spans="1:19" ht="24.5" customHeight="1">
      <c r="A23" s="35" t="s">
        <v>137</v>
      </c>
      <c r="B23" s="53">
        <f>'Umsatz- und Ertragsvorschau'!B17</f>
        <v>555.41666666666674</v>
      </c>
      <c r="C23" s="53">
        <f>'Umsatz- und Ertragsvorschau'!C17</f>
        <v>581.66666666666674</v>
      </c>
      <c r="D23" s="53">
        <f>'Umsatz- und Ertragsvorschau'!D17</f>
        <v>590.41666666666674</v>
      </c>
      <c r="E23" s="53">
        <f>'Umsatz- und Ertragsvorschau'!E17</f>
        <v>617.22631666666666</v>
      </c>
      <c r="F23" s="53">
        <f>'Umsatz- und Ertragsvorschau'!F17</f>
        <v>618.74536666666665</v>
      </c>
      <c r="G23" s="53">
        <f>'Umsatz- und Ertragsvorschau'!G17</f>
        <v>620.26441666666665</v>
      </c>
      <c r="H23" s="53">
        <f>'Umsatz- und Ertragsvorschau'!H17</f>
        <v>621.78346666666675</v>
      </c>
      <c r="I23" s="53">
        <f>'Umsatz- und Ertragsvorschau'!I17</f>
        <v>629.55251666666663</v>
      </c>
      <c r="J23" s="53">
        <f>'Umsatz- und Ertragsvorschau'!J17</f>
        <v>631.07156666666674</v>
      </c>
      <c r="K23" s="53">
        <f>'Umsatz- und Ertragsvorschau'!K17</f>
        <v>638.84061666666662</v>
      </c>
      <c r="L23" s="53">
        <f>'Umsatz- und Ertragsvorschau'!L17</f>
        <v>640.75941666666665</v>
      </c>
      <c r="M23" s="53">
        <f>'Umsatz- und Ertragsvorschau'!M17</f>
        <v>642.67821666666669</v>
      </c>
      <c r="N23" s="54">
        <f t="shared" si="4"/>
        <v>7388.4218999999994</v>
      </c>
      <c r="O23" s="62"/>
    </row>
    <row r="24" spans="1:19" ht="24.5" customHeight="1">
      <c r="A24" s="35" t="s">
        <v>138</v>
      </c>
      <c r="B24" s="53">
        <f>'Umsatz- und Ertragsvorschau'!B18</f>
        <v>12500</v>
      </c>
      <c r="C24" s="53">
        <f>'Umsatz- und Ertragsvorschau'!C18</f>
        <v>12500</v>
      </c>
      <c r="D24" s="53">
        <f>'Umsatz- und Ertragsvorschau'!D18</f>
        <v>12500</v>
      </c>
      <c r="E24" s="53">
        <f>'Umsatz- und Ertragsvorschau'!E18</f>
        <v>12500</v>
      </c>
      <c r="F24" s="53">
        <f>'Umsatz- und Ertragsvorschau'!F18</f>
        <v>12500</v>
      </c>
      <c r="G24" s="53">
        <f>'Umsatz- und Ertragsvorschau'!G18</f>
        <v>12500</v>
      </c>
      <c r="H24" s="53">
        <f>'Umsatz- und Ertragsvorschau'!H18</f>
        <v>17500</v>
      </c>
      <c r="I24" s="53">
        <f>'Umsatz- und Ertragsvorschau'!I18</f>
        <v>17500</v>
      </c>
      <c r="J24" s="53">
        <f>'Umsatz- und Ertragsvorschau'!J18</f>
        <v>17500</v>
      </c>
      <c r="K24" s="53">
        <f>'Umsatz- und Ertragsvorschau'!K18</f>
        <v>17500</v>
      </c>
      <c r="L24" s="53">
        <f>'Umsatz- und Ertragsvorschau'!L18</f>
        <v>17500</v>
      </c>
      <c r="M24" s="53">
        <f>'Umsatz- und Ertragsvorschau'!M18</f>
        <v>17500</v>
      </c>
      <c r="N24" s="54">
        <f t="shared" si="4"/>
        <v>180000</v>
      </c>
      <c r="O24" s="62"/>
    </row>
    <row r="25" spans="1:19" ht="24.5" customHeight="1">
      <c r="A25" s="35" t="s">
        <v>139</v>
      </c>
      <c r="B25" s="53">
        <f>'Umsatz- und Ertragsvorschau'!B19</f>
        <v>600</v>
      </c>
      <c r="C25" s="53">
        <f>'Umsatz- und Ertragsvorschau'!C19</f>
        <v>600</v>
      </c>
      <c r="D25" s="53">
        <f>'Umsatz- und Ertragsvorschau'!D19</f>
        <v>600</v>
      </c>
      <c r="E25" s="53">
        <f>'Umsatz- und Ertragsvorschau'!E19</f>
        <v>600</v>
      </c>
      <c r="F25" s="53">
        <f>'Umsatz- und Ertragsvorschau'!F19</f>
        <v>600</v>
      </c>
      <c r="G25" s="53">
        <f>'Umsatz- und Ertragsvorschau'!G19</f>
        <v>600</v>
      </c>
      <c r="H25" s="53">
        <f>'Umsatz- und Ertragsvorschau'!H19</f>
        <v>600</v>
      </c>
      <c r="I25" s="53">
        <f>'Umsatz- und Ertragsvorschau'!I19</f>
        <v>600</v>
      </c>
      <c r="J25" s="53">
        <f>'Umsatz- und Ertragsvorschau'!J19</f>
        <v>600</v>
      </c>
      <c r="K25" s="53">
        <f>'Umsatz- und Ertragsvorschau'!K19</f>
        <v>600</v>
      </c>
      <c r="L25" s="53">
        <f>'Umsatz- und Ertragsvorschau'!L19</f>
        <v>600</v>
      </c>
      <c r="M25" s="53">
        <f>'Umsatz- und Ertragsvorschau'!M19</f>
        <v>600</v>
      </c>
      <c r="N25" s="54">
        <f t="shared" si="4"/>
        <v>7200</v>
      </c>
      <c r="O25" s="62"/>
    </row>
    <row r="26" spans="1:19" ht="24.5" customHeight="1">
      <c r="A26" s="35" t="s">
        <v>140</v>
      </c>
      <c r="B26" s="53">
        <f>'Umsatz- und Ertragsvorschau'!B20</f>
        <v>87.5</v>
      </c>
      <c r="C26" s="53">
        <f>'Umsatz- und Ertragsvorschau'!C20</f>
        <v>200</v>
      </c>
      <c r="D26" s="53">
        <f>'Umsatz- und Ertragsvorschau'!D20</f>
        <v>287.5</v>
      </c>
      <c r="E26" s="53">
        <f>'Umsatz- und Ertragsvorschau'!E20</f>
        <v>405.59650000000005</v>
      </c>
      <c r="F26" s="53">
        <f>'Umsatz- und Ertragsvorschau'!F20</f>
        <v>420.78699999999998</v>
      </c>
      <c r="G26" s="53">
        <f>'Umsatz- und Ertragsvorschau'!G20</f>
        <v>435.97750000000002</v>
      </c>
      <c r="H26" s="53">
        <f>'Umsatz- und Ertragsvorschau'!H20</f>
        <v>451.16800000000006</v>
      </c>
      <c r="I26" s="53">
        <f>'Umsatz- und Ertragsvorschau'!I20</f>
        <v>528.85850000000005</v>
      </c>
      <c r="J26" s="53">
        <f>'Umsatz- und Ertragsvorschau'!J20</f>
        <v>544.04899999999998</v>
      </c>
      <c r="K26" s="53">
        <f>'Umsatz- und Ertragsvorschau'!K20</f>
        <v>621.73950000000002</v>
      </c>
      <c r="L26" s="53">
        <f>'Umsatz- und Ertragsvorschau'!L20</f>
        <v>640.92750000000001</v>
      </c>
      <c r="M26" s="53">
        <f>'Umsatz- und Ertragsvorschau'!M20</f>
        <v>660.1155</v>
      </c>
      <c r="N26" s="54">
        <f t="shared" si="4"/>
        <v>5284.2190000000001</v>
      </c>
      <c r="O26" s="62"/>
    </row>
    <row r="27" spans="1:19" ht="24.5" customHeight="1">
      <c r="A27" s="35" t="s">
        <v>141</v>
      </c>
      <c r="B27" s="53">
        <f>'Umsatz- und Ertragsvorschau'!B21</f>
        <v>2166.6666666666665</v>
      </c>
      <c r="C27" s="53">
        <f>'Umsatz- und Ertragsvorschau'!C21</f>
        <v>2166.6666666666665</v>
      </c>
      <c r="D27" s="53">
        <f>'Umsatz- und Ertragsvorschau'!D21</f>
        <v>2166.6666666666665</v>
      </c>
      <c r="E27" s="53">
        <f>'Umsatz- und Ertragsvorschau'!E21</f>
        <v>2166.6666666666665</v>
      </c>
      <c r="F27" s="53">
        <f>'Umsatz- und Ertragsvorschau'!F21</f>
        <v>2166.6666666666665</v>
      </c>
      <c r="G27" s="53">
        <f>'Umsatz- und Ertragsvorschau'!G21</f>
        <v>2166.6666666666665</v>
      </c>
      <c r="H27" s="53">
        <f>'Umsatz- und Ertragsvorschau'!H21</f>
        <v>2166.6666666666665</v>
      </c>
      <c r="I27" s="53">
        <f>'Umsatz- und Ertragsvorschau'!I21</f>
        <v>2166.6666666666665</v>
      </c>
      <c r="J27" s="53">
        <f>'Umsatz- und Ertragsvorschau'!J21</f>
        <v>2166.6666666666665</v>
      </c>
      <c r="K27" s="53">
        <f>'Umsatz- und Ertragsvorschau'!K21</f>
        <v>2166.6666666666665</v>
      </c>
      <c r="L27" s="53">
        <f>'Umsatz- und Ertragsvorschau'!L21</f>
        <v>2166.6666666666665</v>
      </c>
      <c r="M27" s="53">
        <f>'Umsatz- und Ertragsvorschau'!M21</f>
        <v>2166.6666666666665</v>
      </c>
      <c r="N27" s="54">
        <f t="shared" si="4"/>
        <v>26000.000000000004</v>
      </c>
      <c r="O27" s="62"/>
    </row>
    <row r="28" spans="1:19" ht="24.5" customHeight="1">
      <c r="A28" s="55" t="s">
        <v>162</v>
      </c>
      <c r="B28" s="53"/>
      <c r="C28" s="53">
        <f>IF('Umsatz- und Ertragsvorschau'!N25&gt;0,('Umsatz- und Ertragsvorschau'!N25*0.035*S28)/4,0)</f>
        <v>0</v>
      </c>
      <c r="D28" s="53">
        <f>IF('Umsatz- und Ertragsvorschau'!N25&gt;0,('Umsatz- und Ertragsvorschau'!N25*Q28)/4,0)</f>
        <v>0</v>
      </c>
      <c r="E28" s="53"/>
      <c r="F28" s="53">
        <f>$C28</f>
        <v>0</v>
      </c>
      <c r="G28" s="53">
        <f>$D28</f>
        <v>0</v>
      </c>
      <c r="H28" s="53"/>
      <c r="I28" s="53">
        <f>$C28</f>
        <v>0</v>
      </c>
      <c r="J28" s="53">
        <f>$D28</f>
        <v>0</v>
      </c>
      <c r="K28" s="53"/>
      <c r="L28" s="53">
        <f>$C28</f>
        <v>0</v>
      </c>
      <c r="M28" s="53">
        <f>$D28</f>
        <v>0</v>
      </c>
      <c r="N28" s="54">
        <f>SUM(B28:M28)</f>
        <v>0</v>
      </c>
      <c r="O28" s="34" t="s">
        <v>163</v>
      </c>
      <c r="P28" s="52" t="str">
        <f>IF(O28="Kapitalgesellschaft","Körperschaftsteuer:","Einkommensteuer:")</f>
        <v>Körperschaftsteuer:</v>
      </c>
      <c r="Q28" s="63">
        <f>IF(O28="Kapitalgesellschaft",15%,30%)</f>
        <v>0.15</v>
      </c>
      <c r="R28" s="52" t="s">
        <v>164</v>
      </c>
      <c r="S28" s="105">
        <v>4.0999999999999996</v>
      </c>
    </row>
    <row r="29" spans="1:19" ht="24.5" customHeight="1">
      <c r="A29" s="55" t="s">
        <v>165</v>
      </c>
      <c r="B29" s="53">
        <f>HR!G48</f>
        <v>0</v>
      </c>
      <c r="C29" s="53">
        <f>HR!H48</f>
        <v>0</v>
      </c>
      <c r="D29" s="53">
        <f>HR!I48</f>
        <v>0</v>
      </c>
      <c r="E29" s="53">
        <f>HR!J48</f>
        <v>0</v>
      </c>
      <c r="F29" s="53">
        <f>HR!K48</f>
        <v>0</v>
      </c>
      <c r="G29" s="53">
        <f>HR!L48</f>
        <v>0</v>
      </c>
      <c r="H29" s="53">
        <f>HR!M48</f>
        <v>0</v>
      </c>
      <c r="I29" s="53">
        <f>HR!N48</f>
        <v>0</v>
      </c>
      <c r="J29" s="53">
        <f>HR!O48</f>
        <v>0</v>
      </c>
      <c r="K29" s="53">
        <f>HR!P48</f>
        <v>0</v>
      </c>
      <c r="L29" s="53">
        <f>HR!Q48</f>
        <v>0</v>
      </c>
      <c r="M29" s="53">
        <f>HR!R48</f>
        <v>0</v>
      </c>
      <c r="N29" s="54">
        <f>SUM(B29:M29)</f>
        <v>0</v>
      </c>
      <c r="O29" s="62"/>
      <c r="P29" s="64" t="s">
        <v>166</v>
      </c>
      <c r="S29" s="64" t="s">
        <v>167</v>
      </c>
    </row>
    <row r="30" spans="1:19" ht="24.5" customHeight="1">
      <c r="A30" s="55" t="s">
        <v>168</v>
      </c>
      <c r="B30" s="53">
        <f>Finanzierung!G25</f>
        <v>0</v>
      </c>
      <c r="C30" s="53">
        <f>Finanzierung!H25</f>
        <v>0</v>
      </c>
      <c r="D30" s="53">
        <f>Finanzierung!I25</f>
        <v>0</v>
      </c>
      <c r="E30" s="53">
        <f>Finanzierung!J25</f>
        <v>0</v>
      </c>
      <c r="F30" s="53">
        <f>Finanzierung!K25</f>
        <v>0</v>
      </c>
      <c r="G30" s="53">
        <f>Finanzierung!L25</f>
        <v>0</v>
      </c>
      <c r="H30" s="53">
        <f>Finanzierung!M25</f>
        <v>0</v>
      </c>
      <c r="I30" s="53">
        <f>Finanzierung!N25</f>
        <v>0</v>
      </c>
      <c r="J30" s="53">
        <f>Finanzierung!O25</f>
        <v>0</v>
      </c>
      <c r="K30" s="53">
        <f>Finanzierung!P25</f>
        <v>0</v>
      </c>
      <c r="L30" s="53">
        <f>Finanzierung!Q25</f>
        <v>0</v>
      </c>
      <c r="M30" s="53">
        <f>Finanzierung!R25</f>
        <v>0</v>
      </c>
      <c r="N30" s="54">
        <f>SUM(B30:M30)</f>
        <v>0</v>
      </c>
      <c r="O30" s="62"/>
      <c r="P30" s="64"/>
      <c r="S30" s="64"/>
    </row>
    <row r="31" spans="1:19" ht="24.5" customHeight="1">
      <c r="A31" s="55" t="s">
        <v>169</v>
      </c>
      <c r="B31" s="53">
        <f>Finanzierung!G31</f>
        <v>0</v>
      </c>
      <c r="C31" s="53">
        <f>Finanzierung!H31</f>
        <v>0</v>
      </c>
      <c r="D31" s="53">
        <f>Finanzierung!I31</f>
        <v>0</v>
      </c>
      <c r="E31" s="53">
        <f>Finanzierung!J31</f>
        <v>0</v>
      </c>
      <c r="F31" s="53">
        <f>Finanzierung!K31</f>
        <v>0</v>
      </c>
      <c r="G31" s="53">
        <f>Finanzierung!L31</f>
        <v>0</v>
      </c>
      <c r="H31" s="53">
        <f>Finanzierung!M31</f>
        <v>0</v>
      </c>
      <c r="I31" s="53">
        <f>Finanzierung!N31</f>
        <v>0</v>
      </c>
      <c r="J31" s="53">
        <f>Finanzierung!O31</f>
        <v>0</v>
      </c>
      <c r="K31" s="53">
        <f>Finanzierung!P31</f>
        <v>0</v>
      </c>
      <c r="L31" s="53">
        <f>Finanzierung!Q31</f>
        <v>0</v>
      </c>
      <c r="M31" s="53">
        <f>Finanzierung!R31</f>
        <v>0</v>
      </c>
      <c r="N31" s="54">
        <f>SUM(B31:M31)</f>
        <v>0</v>
      </c>
      <c r="O31" s="62"/>
      <c r="P31" s="64"/>
      <c r="S31" s="64"/>
    </row>
    <row r="32" spans="1:19" ht="24.5" customHeight="1">
      <c r="A32" s="56" t="s">
        <v>170</v>
      </c>
      <c r="B32" s="54">
        <f>SUM(B16:B31)</f>
        <v>357630.41666666669</v>
      </c>
      <c r="C32" s="54">
        <f t="shared" ref="C32:N32" si="5">SUM(C16:C31)</f>
        <v>57065</v>
      </c>
      <c r="D32" s="54">
        <f t="shared" si="5"/>
        <v>54661.25</v>
      </c>
      <c r="E32" s="54">
        <f t="shared" si="5"/>
        <v>64881.989483333338</v>
      </c>
      <c r="F32" s="54">
        <f t="shared" si="5"/>
        <v>66283.699033333338</v>
      </c>
      <c r="G32" s="54">
        <f t="shared" si="5"/>
        <v>66585.408583333337</v>
      </c>
      <c r="H32" s="54">
        <f t="shared" si="5"/>
        <v>71887.118133333352</v>
      </c>
      <c r="I32" s="54">
        <f t="shared" si="5"/>
        <v>73457.577683333351</v>
      </c>
      <c r="J32" s="54">
        <f t="shared" si="5"/>
        <v>73759.287233333351</v>
      </c>
      <c r="K32" s="54">
        <f t="shared" si="5"/>
        <v>74129.74678333335</v>
      </c>
      <c r="L32" s="54">
        <f t="shared" si="5"/>
        <v>76910.853583333344</v>
      </c>
      <c r="M32" s="54">
        <f t="shared" si="5"/>
        <v>77291.960383333353</v>
      </c>
      <c r="N32" s="54">
        <f t="shared" si="5"/>
        <v>1114544.3075666667</v>
      </c>
      <c r="O32" s="62"/>
    </row>
    <row r="33" spans="1:15" ht="24.5" customHeight="1">
      <c r="A33" s="56" t="s">
        <v>171</v>
      </c>
      <c r="B33" s="54">
        <f t="shared" ref="B33:N33" si="6">B12-B32</f>
        <v>301119.58333333331</v>
      </c>
      <c r="C33" s="54">
        <f t="shared" si="6"/>
        <v>-37065</v>
      </c>
      <c r="D33" s="54">
        <f t="shared" si="6"/>
        <v>-25911.25</v>
      </c>
      <c r="E33" s="54">
        <f t="shared" si="6"/>
        <v>-24322.339483333337</v>
      </c>
      <c r="F33" s="54">
        <f t="shared" si="6"/>
        <v>-24204.999033333341</v>
      </c>
      <c r="G33" s="54">
        <f t="shared" si="6"/>
        <v>-22987.658583333337</v>
      </c>
      <c r="H33" s="54">
        <f t="shared" si="6"/>
        <v>-26770.318133333349</v>
      </c>
      <c r="I33" s="54">
        <f t="shared" si="6"/>
        <v>-20571.727683333353</v>
      </c>
      <c r="J33" s="54">
        <f t="shared" si="6"/>
        <v>-19354.387233333349</v>
      </c>
      <c r="K33" s="54">
        <f t="shared" si="6"/>
        <v>-11955.796783333353</v>
      </c>
      <c r="L33" s="54">
        <f t="shared" si="6"/>
        <v>-12818.103583333344</v>
      </c>
      <c r="M33" s="54">
        <f t="shared" si="6"/>
        <v>-11280.41038333335</v>
      </c>
      <c r="N33" s="54">
        <f t="shared" si="6"/>
        <v>63877.592433333397</v>
      </c>
      <c r="O33" s="62"/>
    </row>
    <row r="34" spans="1:15" ht="24.5" customHeight="1">
      <c r="B34" s="57"/>
      <c r="C34" s="57"/>
      <c r="D34" s="57"/>
      <c r="E34" s="57"/>
      <c r="F34" s="57"/>
      <c r="G34" s="57"/>
      <c r="H34" s="57"/>
      <c r="I34" s="57"/>
      <c r="J34" s="57"/>
      <c r="K34" s="57"/>
      <c r="L34" s="57"/>
      <c r="M34" s="57"/>
      <c r="N34" s="57"/>
      <c r="O34" s="60"/>
    </row>
    <row r="35" spans="1:15" ht="24.5" customHeight="1">
      <c r="A35" s="56" t="s">
        <v>172</v>
      </c>
      <c r="B35" s="53">
        <f t="shared" ref="B35:M35" si="7">B7+B33</f>
        <v>326119.58333333331</v>
      </c>
      <c r="C35" s="53">
        <f t="shared" si="7"/>
        <v>289054.58333333331</v>
      </c>
      <c r="D35" s="53">
        <f t="shared" si="7"/>
        <v>263143.33333333331</v>
      </c>
      <c r="E35" s="53">
        <f t="shared" si="7"/>
        <v>238820.99384999997</v>
      </c>
      <c r="F35" s="53">
        <f t="shared" si="7"/>
        <v>214615.99481666664</v>
      </c>
      <c r="G35" s="53">
        <f t="shared" si="7"/>
        <v>191628.33623333331</v>
      </c>
      <c r="H35" s="53">
        <f t="shared" si="7"/>
        <v>164858.01809999996</v>
      </c>
      <c r="I35" s="53">
        <f t="shared" si="7"/>
        <v>144286.2904166666</v>
      </c>
      <c r="J35" s="53">
        <f t="shared" si="7"/>
        <v>124931.90318333326</v>
      </c>
      <c r="K35" s="53">
        <f t="shared" si="7"/>
        <v>112976.1063999999</v>
      </c>
      <c r="L35" s="53">
        <f t="shared" si="7"/>
        <v>100158.00281666656</v>
      </c>
      <c r="M35" s="53">
        <f t="shared" si="7"/>
        <v>88877.592433333208</v>
      </c>
      <c r="N35" s="53"/>
      <c r="O35" s="62"/>
    </row>
    <row r="38" spans="1:15" ht="23">
      <c r="A38" s="66" t="s">
        <v>175</v>
      </c>
    </row>
    <row r="39" spans="1:15" ht="38.75" customHeight="1">
      <c r="A39" s="49" t="s">
        <v>111</v>
      </c>
      <c r="B39" s="102" t="str">
        <f>Cover!$C$11</f>
        <v>Ellmann Consulting GmbH</v>
      </c>
    </row>
    <row r="40" spans="1:15">
      <c r="A40" s="138" t="s">
        <v>145</v>
      </c>
      <c r="B40" s="50" t="s">
        <v>115</v>
      </c>
      <c r="C40" s="50" t="s">
        <v>116</v>
      </c>
      <c r="D40" s="50" t="s">
        <v>117</v>
      </c>
      <c r="E40" s="50" t="s">
        <v>118</v>
      </c>
      <c r="F40" s="50" t="s">
        <v>119</v>
      </c>
      <c r="G40" s="50" t="s">
        <v>120</v>
      </c>
      <c r="H40" s="50" t="s">
        <v>121</v>
      </c>
      <c r="I40" s="50" t="s">
        <v>122</v>
      </c>
      <c r="J40" s="50" t="s">
        <v>123</v>
      </c>
      <c r="K40" s="50" t="s">
        <v>124</v>
      </c>
      <c r="L40" s="50" t="s">
        <v>125</v>
      </c>
      <c r="M40" s="50" t="s">
        <v>126</v>
      </c>
      <c r="N40" s="138" t="s">
        <v>127</v>
      </c>
      <c r="O40" s="61"/>
    </row>
    <row r="41" spans="1:15">
      <c r="A41" s="138"/>
      <c r="B41" s="51">
        <f>DATE(YEAR(M5),MONTH(M5)+1,DAY(M5))</f>
        <v>46023</v>
      </c>
      <c r="C41" s="51">
        <f t="shared" ref="C41:M41" si="8">DATE(YEAR(B41),MONTH(B41)+1,DAY(B41))</f>
        <v>46054</v>
      </c>
      <c r="D41" s="51">
        <f t="shared" si="8"/>
        <v>46082</v>
      </c>
      <c r="E41" s="51">
        <f t="shared" si="8"/>
        <v>46113</v>
      </c>
      <c r="F41" s="51">
        <f t="shared" si="8"/>
        <v>46143</v>
      </c>
      <c r="G41" s="51">
        <f t="shared" si="8"/>
        <v>46174</v>
      </c>
      <c r="H41" s="51">
        <f t="shared" si="8"/>
        <v>46204</v>
      </c>
      <c r="I41" s="51">
        <f t="shared" si="8"/>
        <v>46235</v>
      </c>
      <c r="J41" s="51">
        <f t="shared" si="8"/>
        <v>46266</v>
      </c>
      <c r="K41" s="51">
        <f t="shared" si="8"/>
        <v>46296</v>
      </c>
      <c r="L41" s="51">
        <f t="shared" si="8"/>
        <v>46327</v>
      </c>
      <c r="M41" s="51">
        <f t="shared" si="8"/>
        <v>46357</v>
      </c>
      <c r="N41" s="138"/>
      <c r="O41" s="61"/>
    </row>
    <row r="43" spans="1:15" ht="24" customHeight="1">
      <c r="A43" s="52" t="s">
        <v>151</v>
      </c>
      <c r="B43" s="53">
        <f>M35</f>
        <v>88877.592433333208</v>
      </c>
      <c r="C43" s="53">
        <f>B71</f>
        <v>52136.995463036626</v>
      </c>
      <c r="D43" s="53">
        <f t="shared" ref="D43:M43" si="9">C71</f>
        <v>36396.591692740025</v>
      </c>
      <c r="E43" s="53">
        <f t="shared" si="9"/>
        <v>35792.631122443432</v>
      </c>
      <c r="F43" s="53">
        <f t="shared" si="9"/>
        <v>44545.14595214685</v>
      </c>
      <c r="G43" s="53">
        <f t="shared" si="9"/>
        <v>44674.649448516939</v>
      </c>
      <c r="H43" s="53">
        <f t="shared" si="9"/>
        <v>49866.974944886999</v>
      </c>
      <c r="I43" s="53">
        <f t="shared" si="9"/>
        <v>58839.622441257074</v>
      </c>
      <c r="J43" s="53">
        <f t="shared" si="9"/>
        <v>65845.508604293791</v>
      </c>
      <c r="K43" s="53">
        <f>J71</f>
        <v>85331.716767330523</v>
      </c>
      <c r="L43" s="53">
        <f t="shared" si="9"/>
        <v>111802.70243036725</v>
      </c>
      <c r="M43" s="53">
        <f t="shared" si="9"/>
        <v>139205.35669340403</v>
      </c>
      <c r="N43" s="53"/>
      <c r="O43" s="62"/>
    </row>
    <row r="44" spans="1:15" ht="24.5" customHeight="1">
      <c r="A44" s="58" t="s">
        <v>152</v>
      </c>
      <c r="B44" s="59"/>
      <c r="C44" s="59"/>
      <c r="D44" s="59"/>
      <c r="E44" s="59"/>
      <c r="F44" s="59"/>
      <c r="G44" s="59"/>
      <c r="H44" s="59"/>
      <c r="I44" s="59"/>
      <c r="J44" s="59"/>
      <c r="K44" s="59"/>
      <c r="L44" s="59"/>
      <c r="M44" s="59"/>
      <c r="N44" s="59"/>
      <c r="O44" s="60"/>
    </row>
    <row r="45" spans="1:15" ht="24.5" customHeight="1">
      <c r="A45" s="52" t="s">
        <v>153</v>
      </c>
      <c r="B45" s="53">
        <f>IF($G$3=1,'Umsatz- und Ertragsvorschau'!B33,'Umsatz- und Ertragsvorschau'!M7)</f>
        <v>81680.350000000006</v>
      </c>
      <c r="C45" s="53">
        <f>IF($G$3=1,'Umsatz- und Ertragsvorschau'!C33,'Umsatz- und Ertragsvorschau'!B33)</f>
        <v>96099.15</v>
      </c>
      <c r="D45" s="53">
        <f>IF($G$3=1,'Umsatz- und Ertragsvorschau'!D33,'Umsatz- und Ertragsvorschau'!C33)</f>
        <v>111767.95</v>
      </c>
      <c r="E45" s="53">
        <f>IF($G$3=1,'Umsatz- und Ertragsvorschau'!E33,'Umsatz- und Ertragsvorschau'!D33)</f>
        <v>126506.55</v>
      </c>
      <c r="F45" s="53">
        <f>IF($G$3=1,'Umsatz- und Ertragsvorschau'!F33,'Umsatz- und Ertragsvorschau'!E33)</f>
        <v>129704.55</v>
      </c>
      <c r="G45" s="53">
        <f>IF($G$3=1,'Umsatz- und Ertragsvorschau'!G33,'Umsatz- und Ertragsvorschau'!F33)</f>
        <v>132902.54999999999</v>
      </c>
      <c r="H45" s="53">
        <f>IF($G$3=1,'Umsatz- und Ertragsvorschau'!H33,'Umsatz- und Ertragsvorschau'!G33)</f>
        <v>143600.54999999999</v>
      </c>
      <c r="I45" s="53">
        <f>IF($G$3=1,'Umsatz- und Ertragsvorschau'!I33,'Umsatz- und Ertragsvorschau'!H33)</f>
        <v>153048.54999999999</v>
      </c>
      <c r="J45" s="53">
        <f>IF($G$3=1,'Umsatz- und Ertragsvorschau'!J33,'Umsatz- und Ertragsvorschau'!I33)</f>
        <v>163746.54999999999</v>
      </c>
      <c r="K45" s="53">
        <f>IF($G$3=1,'Umsatz- und Ertragsvorschau'!K33,'Umsatz- und Ertragsvorschau'!J33)</f>
        <v>173994.05</v>
      </c>
      <c r="L45" s="53">
        <f>IF($G$3=1,'Umsatz- und Ertragsvorschau'!L33,'Umsatz- und Ertragsvorschau'!K33)</f>
        <v>178151.45</v>
      </c>
      <c r="M45" s="53">
        <f>IF($G$3=1,'Umsatz- und Ertragsvorschau'!M33,'Umsatz- und Ertragsvorschau'!L33)</f>
        <v>182308.85</v>
      </c>
      <c r="N45" s="54">
        <f>SUM(B45:M45)</f>
        <v>1673511.1000000003</v>
      </c>
      <c r="O45" s="62"/>
    </row>
    <row r="46" spans="1:15" ht="24.5" customHeight="1">
      <c r="A46" s="55" t="s">
        <v>154</v>
      </c>
      <c r="B46" s="104"/>
      <c r="C46" s="104"/>
      <c r="D46" s="104"/>
      <c r="E46" s="104"/>
      <c r="F46" s="104"/>
      <c r="G46" s="104"/>
      <c r="H46" s="104"/>
      <c r="I46" s="104"/>
      <c r="J46" s="104"/>
      <c r="K46" s="104"/>
      <c r="L46" s="104"/>
      <c r="M46" s="104"/>
      <c r="N46" s="54">
        <f>SUM(B46:M46)</f>
        <v>0</v>
      </c>
      <c r="O46" s="62"/>
    </row>
    <row r="47" spans="1:15" ht="24.5" customHeight="1">
      <c r="A47" s="55" t="s">
        <v>155</v>
      </c>
      <c r="B47" s="104">
        <f>Finanzierung!S33</f>
        <v>0</v>
      </c>
      <c r="C47" s="104">
        <f>Finanzierung!T33</f>
        <v>0</v>
      </c>
      <c r="D47" s="104">
        <f>Finanzierung!U33</f>
        <v>0</v>
      </c>
      <c r="E47" s="104">
        <f>Finanzierung!V33</f>
        <v>0</v>
      </c>
      <c r="F47" s="104">
        <f>Finanzierung!W33</f>
        <v>0</v>
      </c>
      <c r="G47" s="104">
        <f>Finanzierung!X33</f>
        <v>0</v>
      </c>
      <c r="H47" s="104">
        <f>Finanzierung!Y33</f>
        <v>0</v>
      </c>
      <c r="I47" s="104">
        <f>Finanzierung!Z33</f>
        <v>0</v>
      </c>
      <c r="J47" s="104">
        <f>Finanzierung!AA33</f>
        <v>0</v>
      </c>
      <c r="K47" s="104">
        <f>Finanzierung!AB33</f>
        <v>0</v>
      </c>
      <c r="L47" s="104">
        <f>Finanzierung!AC33</f>
        <v>0</v>
      </c>
      <c r="M47" s="104">
        <f>Finanzierung!AD33</f>
        <v>0</v>
      </c>
      <c r="N47" s="54">
        <f>SUM(B47:M47)</f>
        <v>0</v>
      </c>
      <c r="O47" s="62"/>
    </row>
    <row r="48" spans="1:15" ht="24.5" customHeight="1">
      <c r="A48" s="56" t="s">
        <v>156</v>
      </c>
      <c r="B48" s="54">
        <f t="shared" ref="B48:M48" si="10">SUM(B45:B47)</f>
        <v>81680.350000000006</v>
      </c>
      <c r="C48" s="54">
        <f t="shared" si="10"/>
        <v>96099.15</v>
      </c>
      <c r="D48" s="54">
        <f t="shared" si="10"/>
        <v>111767.95</v>
      </c>
      <c r="E48" s="54">
        <f t="shared" si="10"/>
        <v>126506.55</v>
      </c>
      <c r="F48" s="54">
        <f t="shared" si="10"/>
        <v>129704.55</v>
      </c>
      <c r="G48" s="54">
        <f t="shared" si="10"/>
        <v>132902.54999999999</v>
      </c>
      <c r="H48" s="54">
        <f t="shared" si="10"/>
        <v>143600.54999999999</v>
      </c>
      <c r="I48" s="54">
        <f t="shared" si="10"/>
        <v>153048.54999999999</v>
      </c>
      <c r="J48" s="54">
        <f t="shared" si="10"/>
        <v>163746.54999999999</v>
      </c>
      <c r="K48" s="54">
        <f t="shared" si="10"/>
        <v>173994.05</v>
      </c>
      <c r="L48" s="54">
        <f t="shared" si="10"/>
        <v>178151.45</v>
      </c>
      <c r="M48" s="54">
        <f t="shared" si="10"/>
        <v>182308.85</v>
      </c>
      <c r="N48" s="54">
        <f>SUM(B48:M48)</f>
        <v>1673511.1000000003</v>
      </c>
      <c r="O48" s="62"/>
    </row>
    <row r="49" spans="1:19" ht="24.5" customHeight="1">
      <c r="A49" s="56" t="s">
        <v>157</v>
      </c>
      <c r="B49" s="54">
        <f t="shared" ref="B49:M49" si="11">B43+B48</f>
        <v>170557.9424333332</v>
      </c>
      <c r="C49" s="54">
        <f t="shared" si="11"/>
        <v>148236.14546303661</v>
      </c>
      <c r="D49" s="54">
        <f t="shared" si="11"/>
        <v>148164.54169274002</v>
      </c>
      <c r="E49" s="54">
        <f t="shared" si="11"/>
        <v>162299.18112244344</v>
      </c>
      <c r="F49" s="54">
        <f t="shared" si="11"/>
        <v>174249.69595214684</v>
      </c>
      <c r="G49" s="54">
        <f t="shared" si="11"/>
        <v>177577.19944851694</v>
      </c>
      <c r="H49" s="54">
        <f t="shared" si="11"/>
        <v>193467.52494488697</v>
      </c>
      <c r="I49" s="54">
        <f t="shared" si="11"/>
        <v>211888.17244125705</v>
      </c>
      <c r="J49" s="54">
        <f t="shared" si="11"/>
        <v>229592.05860429379</v>
      </c>
      <c r="K49" s="54">
        <f t="shared" si="11"/>
        <v>259325.76676733053</v>
      </c>
      <c r="L49" s="54">
        <f t="shared" si="11"/>
        <v>289954.15243036725</v>
      </c>
      <c r="M49" s="54">
        <f t="shared" si="11"/>
        <v>321514.206693404</v>
      </c>
      <c r="N49" s="54"/>
      <c r="O49" s="62"/>
    </row>
    <row r="50" spans="1:19" ht="24.5" customHeight="1">
      <c r="B50" s="57"/>
      <c r="C50" s="57"/>
      <c r="D50" s="57"/>
      <c r="E50" s="57"/>
      <c r="F50" s="57"/>
      <c r="G50" s="57"/>
      <c r="H50" s="57"/>
      <c r="I50" s="57"/>
      <c r="J50" s="57"/>
      <c r="K50" s="57"/>
      <c r="L50" s="57"/>
      <c r="M50" s="57"/>
      <c r="N50" s="57"/>
      <c r="O50" s="60"/>
    </row>
    <row r="51" spans="1:19" ht="24.5" customHeight="1">
      <c r="A51" s="58" t="s">
        <v>158</v>
      </c>
      <c r="B51" s="59"/>
      <c r="C51" s="59"/>
      <c r="D51" s="59"/>
      <c r="E51" s="59"/>
      <c r="F51" s="59"/>
      <c r="G51" s="59"/>
      <c r="H51" s="59"/>
      <c r="I51" s="59"/>
      <c r="J51" s="59"/>
      <c r="K51" s="59"/>
      <c r="L51" s="59"/>
      <c r="M51" s="59"/>
      <c r="N51" s="59"/>
      <c r="O51" s="60"/>
    </row>
    <row r="52" spans="1:19" ht="24.5" customHeight="1">
      <c r="A52" s="55" t="s">
        <v>88</v>
      </c>
      <c r="B52" s="53">
        <f>CAPEX!S28</f>
        <v>0</v>
      </c>
      <c r="C52" s="53">
        <f>CAPEX!T28</f>
        <v>0</v>
      </c>
      <c r="D52" s="53">
        <f>CAPEX!U28</f>
        <v>0</v>
      </c>
      <c r="E52" s="53">
        <f>CAPEX!V28</f>
        <v>0</v>
      </c>
      <c r="F52" s="53">
        <f>CAPEX!W28</f>
        <v>0</v>
      </c>
      <c r="G52" s="53">
        <f>CAPEX!X28</f>
        <v>0</v>
      </c>
      <c r="H52" s="53">
        <f>CAPEX!Y28</f>
        <v>0</v>
      </c>
      <c r="I52" s="53">
        <f>CAPEX!Z28</f>
        <v>0</v>
      </c>
      <c r="J52" s="53">
        <f>CAPEX!AA28</f>
        <v>0</v>
      </c>
      <c r="K52" s="53">
        <f>CAPEX!AB28</f>
        <v>0</v>
      </c>
      <c r="L52" s="53">
        <f>CAPEX!AC28</f>
        <v>0</v>
      </c>
      <c r="M52" s="53">
        <f>CAPEX!AD28</f>
        <v>0</v>
      </c>
      <c r="N52" s="54">
        <f t="shared" ref="N52:N67" si="12">SUM(B52:M52)</f>
        <v>0</v>
      </c>
      <c r="O52" s="62"/>
    </row>
    <row r="53" spans="1:19" ht="24.5" customHeight="1">
      <c r="A53" s="55" t="s">
        <v>159</v>
      </c>
      <c r="B53" s="53">
        <f>'Umsatz- und Ertragsvorschau'!B34</f>
        <v>10095</v>
      </c>
      <c r="C53" s="53">
        <f>'Umsatz- und Ertragsvorschau'!C34</f>
        <v>12855</v>
      </c>
      <c r="D53" s="53">
        <f>'Umsatz- und Ertragsvorschau'!D34</f>
        <v>13215</v>
      </c>
      <c r="E53" s="53">
        <f>'Umsatz- und Ertragsvorschau'!E34</f>
        <v>13635</v>
      </c>
      <c r="F53" s="53">
        <f>'Umsatz- und Ertragsvorschau'!F34</f>
        <v>14235</v>
      </c>
      <c r="G53" s="53">
        <f>'Umsatz- und Ertragsvorschau'!G34</f>
        <v>14835</v>
      </c>
      <c r="H53" s="53">
        <f>'Umsatz- und Ertragsvorschau'!H34</f>
        <v>16635</v>
      </c>
      <c r="I53" s="53">
        <f>'Umsatz- und Ertragsvorschau'!I34</f>
        <v>18435</v>
      </c>
      <c r="J53" s="53">
        <f>'Umsatz- und Ertragsvorschau'!J34</f>
        <v>19035</v>
      </c>
      <c r="K53" s="53">
        <f>'Umsatz- und Ertragsvorschau'!K34</f>
        <v>19785</v>
      </c>
      <c r="L53" s="53">
        <f>'Umsatz- und Ertragsvorschau'!L34</f>
        <v>20565</v>
      </c>
      <c r="M53" s="53">
        <f>'Umsatz- und Ertragsvorschau'!M34</f>
        <v>21345</v>
      </c>
      <c r="N53" s="54">
        <f t="shared" si="12"/>
        <v>194670</v>
      </c>
      <c r="O53" s="62"/>
    </row>
    <row r="54" spans="1:19" ht="24.5" customHeight="1">
      <c r="A54" s="55" t="s">
        <v>160</v>
      </c>
      <c r="B54" s="53">
        <f>'Umsatz- und Ertragsvorschau'!B35</f>
        <v>9600</v>
      </c>
      <c r="C54" s="53">
        <f>'Umsatz- und Ertragsvorschau'!C35</f>
        <v>9600</v>
      </c>
      <c r="D54" s="53">
        <f>'Umsatz- und Ertragsvorschau'!D35</f>
        <v>9600</v>
      </c>
      <c r="E54" s="53">
        <f>'Umsatz- und Ertragsvorschau'!E35</f>
        <v>14400</v>
      </c>
      <c r="F54" s="53">
        <f>'Umsatz- und Ertragsvorschau'!F35</f>
        <v>19200</v>
      </c>
      <c r="G54" s="53">
        <f>'Umsatz- und Ertragsvorschau'!G35</f>
        <v>19200</v>
      </c>
      <c r="H54" s="53">
        <f>'Umsatz- und Ertragsvorschau'!H35</f>
        <v>19200</v>
      </c>
      <c r="I54" s="53">
        <f>'Umsatz- und Ertragsvorschau'!I35</f>
        <v>19200</v>
      </c>
      <c r="J54" s="53">
        <f>'Umsatz- und Ertragsvorschau'!J35</f>
        <v>19200</v>
      </c>
      <c r="K54" s="53">
        <f>'Umsatz- und Ertragsvorschau'!K35</f>
        <v>21600</v>
      </c>
      <c r="L54" s="53">
        <f>'Umsatz- und Ertragsvorschau'!L35</f>
        <v>24000</v>
      </c>
      <c r="M54" s="53">
        <f>'Umsatz- und Ertragsvorschau'!M35</f>
        <v>24000</v>
      </c>
      <c r="N54" s="54">
        <f t="shared" si="12"/>
        <v>208800</v>
      </c>
      <c r="O54" s="62"/>
    </row>
    <row r="55" spans="1:19" ht="24.5" customHeight="1">
      <c r="A55" s="55" t="s">
        <v>161</v>
      </c>
      <c r="B55" s="53">
        <f>'Umsatz- und Ertragsvorschau'!B39</f>
        <v>52604.166666666672</v>
      </c>
      <c r="C55" s="53">
        <f>'Umsatz- und Ertragsvorschau'!C39</f>
        <v>52604.166666666672</v>
      </c>
      <c r="D55" s="53">
        <f>'Umsatz- und Ertragsvorschau'!D39</f>
        <v>52604.166666666672</v>
      </c>
      <c r="E55" s="53">
        <f>'Umsatz- und Ertragsvorschau'!E39</f>
        <v>52604.166666666672</v>
      </c>
      <c r="F55" s="53">
        <f>'Umsatz- und Ertragsvorschau'!F39</f>
        <v>56250.000000000007</v>
      </c>
      <c r="G55" s="53">
        <f>'Umsatz- und Ertragsvorschau'!G39</f>
        <v>56250.000000000007</v>
      </c>
      <c r="H55" s="53">
        <f>'Umsatz- und Ertragsvorschau'!H39</f>
        <v>56250.000000000007</v>
      </c>
      <c r="I55" s="53">
        <f>'Umsatz- und Ertragsvorschau'!I39</f>
        <v>63020.833333333343</v>
      </c>
      <c r="J55" s="53">
        <f>'Umsatz- und Ertragsvorschau'!J39</f>
        <v>63020.833333333343</v>
      </c>
      <c r="K55" s="53">
        <f>'Umsatz- und Ertragsvorschau'!K39</f>
        <v>63020.833333333343</v>
      </c>
      <c r="L55" s="53">
        <f>'Umsatz- und Ertragsvorschau'!L39</f>
        <v>63020.833333333343</v>
      </c>
      <c r="M55" s="53">
        <f>'Umsatz- und Ertragsvorschau'!M39</f>
        <v>66666.666666666672</v>
      </c>
      <c r="N55" s="54">
        <f t="shared" si="12"/>
        <v>697916.66666666674</v>
      </c>
      <c r="O55" s="62"/>
    </row>
    <row r="56" spans="1:19" ht="24.5" customHeight="1">
      <c r="A56" s="35" t="s">
        <v>134</v>
      </c>
      <c r="B56" s="53">
        <f>'Umsatz- und Ertragsvorschau'!B40</f>
        <v>2200</v>
      </c>
      <c r="C56" s="53">
        <f>'Umsatz- und Ertragsvorschau'!C40</f>
        <v>2200</v>
      </c>
      <c r="D56" s="53">
        <f>'Umsatz- und Ertragsvorschau'!D40</f>
        <v>2200</v>
      </c>
      <c r="E56" s="53">
        <f>'Umsatz- und Ertragsvorschau'!E40</f>
        <v>2200</v>
      </c>
      <c r="F56" s="53">
        <f>'Umsatz- und Ertragsvorschau'!F40</f>
        <v>2200</v>
      </c>
      <c r="G56" s="53">
        <f>'Umsatz- und Ertragsvorschau'!G40</f>
        <v>2200</v>
      </c>
      <c r="H56" s="53">
        <f>'Umsatz- und Ertragsvorschau'!H40</f>
        <v>2200</v>
      </c>
      <c r="I56" s="53">
        <f>'Umsatz- und Ertragsvorschau'!I40</f>
        <v>2200</v>
      </c>
      <c r="J56" s="53">
        <f>'Umsatz- und Ertragsvorschau'!J40</f>
        <v>2200</v>
      </c>
      <c r="K56" s="53">
        <f>'Umsatz- und Ertragsvorschau'!K40</f>
        <v>2200</v>
      </c>
      <c r="L56" s="53">
        <f>'Umsatz- und Ertragsvorschau'!L40</f>
        <v>2200</v>
      </c>
      <c r="M56" s="53">
        <f>'Umsatz- und Ertragsvorschau'!M40</f>
        <v>2750</v>
      </c>
      <c r="N56" s="54">
        <f t="shared" si="12"/>
        <v>26950</v>
      </c>
      <c r="O56" s="62"/>
    </row>
    <row r="57" spans="1:19" ht="24.5" customHeight="1">
      <c r="A57" s="35" t="s">
        <v>135</v>
      </c>
      <c r="B57" s="53">
        <f>'Umsatz- und Ertragsvorschau'!B41</f>
        <v>11300</v>
      </c>
      <c r="C57" s="53">
        <f>'Umsatz- und Ertragsvorschau'!C41</f>
        <v>1800</v>
      </c>
      <c r="D57" s="53">
        <f>'Umsatz- und Ertragsvorschau'!D41</f>
        <v>1800</v>
      </c>
      <c r="E57" s="53">
        <f>'Umsatz- und Ertragsvorschau'!E41</f>
        <v>1800</v>
      </c>
      <c r="F57" s="53">
        <f>'Umsatz- und Ertragsvorschau'!F41</f>
        <v>4500</v>
      </c>
      <c r="G57" s="53">
        <f>'Umsatz- und Ertragsvorschau'!G41</f>
        <v>2000</v>
      </c>
      <c r="H57" s="53">
        <f>'Umsatz- und Ertragsvorschau'!H41</f>
        <v>2000</v>
      </c>
      <c r="I57" s="53">
        <f>'Umsatz- und Ertragsvorschau'!I41</f>
        <v>4700</v>
      </c>
      <c r="J57" s="53">
        <f>'Umsatz- und Ertragsvorschau'!J41</f>
        <v>2200</v>
      </c>
      <c r="K57" s="53">
        <f>'Umsatz- und Ertragsvorschau'!K41</f>
        <v>2200</v>
      </c>
      <c r="L57" s="53">
        <f>'Umsatz- und Ertragsvorschau'!L41</f>
        <v>2200</v>
      </c>
      <c r="M57" s="53">
        <f>'Umsatz- und Ertragsvorschau'!M41</f>
        <v>5900</v>
      </c>
      <c r="N57" s="54">
        <f t="shared" si="12"/>
        <v>42400</v>
      </c>
      <c r="O57" s="62"/>
    </row>
    <row r="58" spans="1:19" ht="24.5" customHeight="1">
      <c r="A58" s="35" t="s">
        <v>136</v>
      </c>
      <c r="B58" s="53">
        <f>'Umsatz- und Ertragsvorschau'!B42</f>
        <v>225</v>
      </c>
      <c r="C58" s="53">
        <f>'Umsatz- und Ertragsvorschau'!C42</f>
        <v>225</v>
      </c>
      <c r="D58" s="53">
        <f>'Umsatz- und Ertragsvorschau'!D42</f>
        <v>225</v>
      </c>
      <c r="E58" s="53">
        <f>'Umsatz- und Ertragsvorschau'!E42</f>
        <v>225</v>
      </c>
      <c r="F58" s="53">
        <f>'Umsatz- und Ertragsvorschau'!F42</f>
        <v>250</v>
      </c>
      <c r="G58" s="53">
        <f>'Umsatz- und Ertragsvorschau'!G42</f>
        <v>250</v>
      </c>
      <c r="H58" s="53">
        <f>'Umsatz- und Ertragsvorschau'!H42</f>
        <v>250</v>
      </c>
      <c r="I58" s="53">
        <f>'Umsatz- und Ertragsvorschau'!I42</f>
        <v>275</v>
      </c>
      <c r="J58" s="53">
        <f>'Umsatz- und Ertragsvorschau'!J42</f>
        <v>275</v>
      </c>
      <c r="K58" s="53">
        <f>'Umsatz- und Ertragsvorschau'!K42</f>
        <v>275</v>
      </c>
      <c r="L58" s="53">
        <f>'Umsatz- und Ertragsvorschau'!L42</f>
        <v>275</v>
      </c>
      <c r="M58" s="53">
        <f>'Umsatz- und Ertragsvorschau'!M42</f>
        <v>300</v>
      </c>
      <c r="N58" s="54">
        <f t="shared" si="12"/>
        <v>3050</v>
      </c>
      <c r="O58" s="62"/>
    </row>
    <row r="59" spans="1:19" ht="24.5" customHeight="1">
      <c r="A59" s="35" t="s">
        <v>137</v>
      </c>
      <c r="B59" s="53">
        <f>'Umsatz- und Ertragsvorschau'!B43</f>
        <v>703.3470166666666</v>
      </c>
      <c r="C59" s="53">
        <f>'Umsatz- und Ertragsvorschau'!C43</f>
        <v>717.76581666666675</v>
      </c>
      <c r="D59" s="53">
        <f>'Umsatz- und Ertragsvorschau'!D43</f>
        <v>733.43461666666667</v>
      </c>
      <c r="E59" s="53">
        <f>'Umsatz- und Ertragsvorschau'!E43</f>
        <v>748.17321666666669</v>
      </c>
      <c r="F59" s="53">
        <f>'Umsatz- und Ertragsvorschau'!F43</f>
        <v>766.37121666666667</v>
      </c>
      <c r="G59" s="53">
        <f>'Umsatz- und Ertragsvorschau'!G43</f>
        <v>769.56921666666676</v>
      </c>
      <c r="H59" s="53">
        <f>'Umsatz- und Ertragsvorschau'!H43</f>
        <v>780.26721666666663</v>
      </c>
      <c r="I59" s="53">
        <f>'Umsatz- und Ertragsvorschau'!I43</f>
        <v>804.71521666666672</v>
      </c>
      <c r="J59" s="53">
        <f>'Umsatz- und Ertragsvorschau'!J43</f>
        <v>815.41321666666659</v>
      </c>
      <c r="K59" s="53">
        <f>'Umsatz- und Ertragsvorschau'!K43</f>
        <v>825.66071666666676</v>
      </c>
      <c r="L59" s="53">
        <f>'Umsatz- und Ertragsvorschau'!L43</f>
        <v>829.8181166666667</v>
      </c>
      <c r="M59" s="53">
        <f>'Umsatz- und Ertragsvorschau'!M43</f>
        <v>848.97551666666664</v>
      </c>
      <c r="N59" s="54">
        <f t="shared" si="12"/>
        <v>9343.5111000000015</v>
      </c>
      <c r="O59" s="62"/>
    </row>
    <row r="60" spans="1:19" ht="24.5" customHeight="1">
      <c r="A60" s="35" t="s">
        <v>138</v>
      </c>
      <c r="B60" s="53">
        <f>'Umsatz- und Ertragsvorschau'!B44</f>
        <v>22500</v>
      </c>
      <c r="C60" s="53">
        <f>'Umsatz- und Ertragsvorschau'!C44</f>
        <v>22500</v>
      </c>
      <c r="D60" s="53">
        <f>'Umsatz- und Ertragsvorschau'!D44</f>
        <v>22500</v>
      </c>
      <c r="E60" s="53">
        <f>'Umsatz- und Ertragsvorschau'!E44</f>
        <v>22500</v>
      </c>
      <c r="F60" s="53">
        <f>'Umsatz- und Ertragsvorschau'!F44</f>
        <v>22500</v>
      </c>
      <c r="G60" s="53">
        <f>'Umsatz- und Ertragsvorschau'!G44</f>
        <v>22500</v>
      </c>
      <c r="H60" s="53">
        <f>'Umsatz- und Ertragsvorschau'!H44</f>
        <v>27500</v>
      </c>
      <c r="I60" s="53">
        <f>'Umsatz- und Ertragsvorschau'!I44</f>
        <v>27500</v>
      </c>
      <c r="J60" s="53">
        <f>'Umsatz- und Ertragsvorschau'!J44</f>
        <v>27500</v>
      </c>
      <c r="K60" s="53">
        <f>'Umsatz- und Ertragsvorschau'!K44</f>
        <v>27500</v>
      </c>
      <c r="L60" s="53">
        <f>'Umsatz- und Ertragsvorschau'!L44</f>
        <v>27500</v>
      </c>
      <c r="M60" s="53">
        <f>'Umsatz- und Ertragsvorschau'!M44</f>
        <v>27500</v>
      </c>
      <c r="N60" s="54">
        <f t="shared" si="12"/>
        <v>300000</v>
      </c>
      <c r="O60" s="62"/>
    </row>
    <row r="61" spans="1:19" ht="24.5" customHeight="1">
      <c r="A61" s="35" t="s">
        <v>139</v>
      </c>
      <c r="B61" s="53">
        <f>'Umsatz- und Ertragsvorschau'!B45</f>
        <v>1200</v>
      </c>
      <c r="C61" s="53">
        <f>'Umsatz- und Ertragsvorschau'!C45</f>
        <v>1200</v>
      </c>
      <c r="D61" s="53">
        <f>'Umsatz- und Ertragsvorschau'!D45</f>
        <v>1200</v>
      </c>
      <c r="E61" s="53">
        <f>'Umsatz- und Ertragsvorschau'!E45</f>
        <v>1200</v>
      </c>
      <c r="F61" s="53">
        <f>'Umsatz- und Ertragsvorschau'!F45</f>
        <v>1200</v>
      </c>
      <c r="G61" s="53">
        <f>'Umsatz- und Ertragsvorschau'!G45</f>
        <v>1200</v>
      </c>
      <c r="H61" s="53">
        <f>'Umsatz- und Ertragsvorschau'!H45</f>
        <v>1200</v>
      </c>
      <c r="I61" s="53">
        <f>'Umsatz- und Ertragsvorschau'!I45</f>
        <v>1200</v>
      </c>
      <c r="J61" s="53">
        <f>'Umsatz- und Ertragsvorschau'!J45</f>
        <v>1200</v>
      </c>
      <c r="K61" s="53">
        <f>'Umsatz- und Ertragsvorschau'!K45</f>
        <v>1200</v>
      </c>
      <c r="L61" s="53">
        <f>'Umsatz- und Ertragsvorschau'!L45</f>
        <v>1200</v>
      </c>
      <c r="M61" s="53">
        <f>'Umsatz- und Ertragsvorschau'!M45</f>
        <v>1200</v>
      </c>
      <c r="N61" s="54">
        <f t="shared" si="12"/>
        <v>14400</v>
      </c>
      <c r="O61" s="62"/>
    </row>
    <row r="62" spans="1:19" ht="24.5" customHeight="1">
      <c r="A62" s="35" t="s">
        <v>140</v>
      </c>
      <c r="B62" s="53">
        <f>'Umsatz- und Ertragsvorschau'!B46</f>
        <v>816.8035000000001</v>
      </c>
      <c r="C62" s="53">
        <f>'Umsatz- und Ertragsvorschau'!C46</f>
        <v>960.99149999999997</v>
      </c>
      <c r="D62" s="53">
        <f>'Umsatz- und Ertragsvorschau'!D46</f>
        <v>1117.6795</v>
      </c>
      <c r="E62" s="53">
        <f>'Umsatz- und Ertragsvorschau'!E46</f>
        <v>1265.0655000000002</v>
      </c>
      <c r="F62" s="53">
        <f>'Umsatz- und Ertragsvorschau'!F46</f>
        <v>1297.0454999999999</v>
      </c>
      <c r="G62" s="53">
        <f>'Umsatz- und Ertragsvorschau'!G46</f>
        <v>1329.0255</v>
      </c>
      <c r="H62" s="53">
        <f>'Umsatz- und Ertragsvorschau'!H46</f>
        <v>1436.0055</v>
      </c>
      <c r="I62" s="53">
        <f>'Umsatz- und Ertragsvorschau'!I46</f>
        <v>1530.4855</v>
      </c>
      <c r="J62" s="53">
        <f>'Umsatz- und Ertragsvorschau'!J46</f>
        <v>1637.4655</v>
      </c>
      <c r="K62" s="53">
        <f>'Umsatz- und Ertragsvorschau'!K46</f>
        <v>1739.9404999999999</v>
      </c>
      <c r="L62" s="53">
        <f>'Umsatz- und Ertragsvorschau'!L46</f>
        <v>1781.5145000000002</v>
      </c>
      <c r="M62" s="53">
        <f>'Umsatz- und Ertragsvorschau'!M46</f>
        <v>1823.0885000000001</v>
      </c>
      <c r="N62" s="54">
        <f t="shared" si="12"/>
        <v>16735.111000000004</v>
      </c>
      <c r="O62" s="62"/>
    </row>
    <row r="63" spans="1:19" ht="24.5" customHeight="1">
      <c r="A63" s="35" t="s">
        <v>141</v>
      </c>
      <c r="B63" s="53">
        <f>'Umsatz- und Ertragsvorschau'!B47</f>
        <v>2166.6666666666665</v>
      </c>
      <c r="C63" s="53">
        <f>'Umsatz- und Ertragsvorschau'!C47</f>
        <v>2149.9667895990115</v>
      </c>
      <c r="D63" s="53">
        <f>'Umsatz- und Ertragsvorschau'!D47</f>
        <v>2133.211246274464</v>
      </c>
      <c r="E63" s="53">
        <f>'Umsatz- und Ertragsvorschau'!E47</f>
        <v>2116.3998511388345</v>
      </c>
      <c r="F63" s="53">
        <f>'Umsatz- und Ertragsvorschau'!F47</f>
        <v>2099.5324180194198</v>
      </c>
      <c r="G63" s="53">
        <f>'Umsatz- und Ertragsvorschau'!G47</f>
        <v>2082.6087601229401</v>
      </c>
      <c r="H63" s="53">
        <f>'Umsatz- und Ertragsvorschau'!H47</f>
        <v>2065.6286900334721</v>
      </c>
      <c r="I63" s="53">
        <f>'Umsatz- und Ertragsvorschau'!I47</f>
        <v>2048.5920197103733</v>
      </c>
      <c r="J63" s="53">
        <f>'Umsatz- und Ertragsvorschau'!J47</f>
        <v>2031.4985604861968</v>
      </c>
      <c r="K63" s="53">
        <f>'Umsatz- und Ertragsvorschau'!K47</f>
        <v>2014.3481230646066</v>
      </c>
      <c r="L63" s="53">
        <f>'Umsatz- und Ertragsvorschau'!L47</f>
        <v>1997.1405175182779</v>
      </c>
      <c r="M63" s="53">
        <f>'Umsatz- und Ertragsvorschau'!M47</f>
        <v>1979.8755532867947</v>
      </c>
      <c r="N63" s="54">
        <f t="shared" si="12"/>
        <v>24885.469195921061</v>
      </c>
      <c r="O63" s="62"/>
    </row>
    <row r="64" spans="1:19" ht="24.5" customHeight="1">
      <c r="A64" s="55" t="s">
        <v>162</v>
      </c>
      <c r="B64" s="53"/>
      <c r="C64" s="53">
        <f>IF('Umsatz- und Ertragsvorschau'!N25&gt;0,IF('Umsatz- und Ertragsvorschau'!N51&gt;0,'Umsatz- und Ertragsvorschau'!N51*0.035*S64/4,0),IF(('Umsatz- und Ertragsvorschau'!N51+'Umsatz- und Ertragsvorschau'!N25)&gt;0,('Umsatz- und Ertragsvorschau'!N51+'Umsatz- und Ertragsvorschau'!N25)*0.035*S64/4,0))</f>
        <v>0</v>
      </c>
      <c r="D64" s="53">
        <f>IF('Umsatz- und Ertragsvorschau'!N25&gt;0,IF('Umsatz- und Ertragsvorschau'!N51&gt;0,'Umsatz- und Ertragsvorschau'!N51*Q64/4,0),IF(('Umsatz- und Ertragsvorschau'!N51+'Umsatz- und Ertragsvorschau'!N25)&gt;0,('Umsatz- und Ertragsvorschau'!N51+'Umsatz- und Ertragsvorschau'!N25)*Q64/4,0))</f>
        <v>0</v>
      </c>
      <c r="E64" s="53"/>
      <c r="F64" s="53">
        <f>$C64</f>
        <v>0</v>
      </c>
      <c r="G64" s="53">
        <f>$D64</f>
        <v>0</v>
      </c>
      <c r="H64" s="53"/>
      <c r="I64" s="53">
        <f>$C64</f>
        <v>0</v>
      </c>
      <c r="J64" s="53">
        <f>$D64</f>
        <v>0</v>
      </c>
      <c r="K64" s="53"/>
      <c r="L64" s="53">
        <f>$C64</f>
        <v>0</v>
      </c>
      <c r="M64" s="53">
        <f>$D64</f>
        <v>0</v>
      </c>
      <c r="N64" s="54">
        <f t="shared" si="12"/>
        <v>0</v>
      </c>
      <c r="O64" s="52" t="str">
        <f>O28</f>
        <v>Kapitalgesellschaft</v>
      </c>
      <c r="P64" s="52" t="str">
        <f>IF(O64="Kapitalgesellschaft","Körperschaftsteuer:","Einkommensteuer:")</f>
        <v>Körperschaftsteuer:</v>
      </c>
      <c r="Q64" s="63">
        <f>IF(O64="Kapitalgesellschaft",15%,"")</f>
        <v>0.15</v>
      </c>
      <c r="R64" s="52" t="s">
        <v>164</v>
      </c>
      <c r="S64" s="65">
        <f>S28</f>
        <v>4.0999999999999996</v>
      </c>
    </row>
    <row r="65" spans="1:19" ht="24.5" customHeight="1">
      <c r="A65" s="55" t="s">
        <v>165</v>
      </c>
      <c r="B65" s="53">
        <f>HR!S48</f>
        <v>0</v>
      </c>
      <c r="C65" s="53">
        <f>HR!T48</f>
        <v>0</v>
      </c>
      <c r="D65" s="53">
        <f>HR!U48</f>
        <v>0</v>
      </c>
      <c r="E65" s="53">
        <f>HR!V48</f>
        <v>0</v>
      </c>
      <c r="F65" s="53">
        <f>HR!W48</f>
        <v>0</v>
      </c>
      <c r="G65" s="53">
        <f>HR!X48</f>
        <v>0</v>
      </c>
      <c r="H65" s="53">
        <f>HR!Y48</f>
        <v>0</v>
      </c>
      <c r="I65" s="53">
        <f>HR!Z48</f>
        <v>0</v>
      </c>
      <c r="J65" s="53">
        <f>HR!AA48</f>
        <v>0</v>
      </c>
      <c r="K65" s="53">
        <f>HR!AB48</f>
        <v>0</v>
      </c>
      <c r="L65" s="53">
        <f>HR!AC48</f>
        <v>0</v>
      </c>
      <c r="M65" s="53">
        <f>HR!AD48</f>
        <v>0</v>
      </c>
      <c r="N65" s="54">
        <f t="shared" si="12"/>
        <v>0</v>
      </c>
      <c r="O65" s="62"/>
      <c r="P65" s="64" t="s">
        <v>166</v>
      </c>
      <c r="S65" s="64" t="s">
        <v>167</v>
      </c>
    </row>
    <row r="66" spans="1:19" ht="24.5" customHeight="1">
      <c r="A66" s="55" t="s">
        <v>168</v>
      </c>
      <c r="B66" s="53">
        <f>Finanzierung!S25</f>
        <v>5009.9631202965866</v>
      </c>
      <c r="C66" s="53">
        <f>Finanzierung!T25</f>
        <v>5026.6629973642421</v>
      </c>
      <c r="D66" s="53">
        <f>Finanzierung!U25</f>
        <v>5043.41854068879</v>
      </c>
      <c r="E66" s="53">
        <f>Finanzierung!V25</f>
        <v>5060.229935824419</v>
      </c>
      <c r="F66" s="53">
        <f>Finanzierung!W25</f>
        <v>5077.0973689438342</v>
      </c>
      <c r="G66" s="53">
        <f>Finanzierung!X25</f>
        <v>5094.0210268403134</v>
      </c>
      <c r="H66" s="53">
        <f>Finanzierung!Y25</f>
        <v>5111.0010969297819</v>
      </c>
      <c r="I66" s="53">
        <f>Finanzierung!Z25</f>
        <v>5128.0377672528803</v>
      </c>
      <c r="J66" s="53">
        <f>Finanzierung!AA25</f>
        <v>5145.1312264770568</v>
      </c>
      <c r="K66" s="53">
        <f>Finanzierung!AB25</f>
        <v>5162.2816638986469</v>
      </c>
      <c r="L66" s="53">
        <f>Finanzierung!AC25</f>
        <v>5179.4892694449754</v>
      </c>
      <c r="M66" s="53">
        <f>Finanzierung!AD25</f>
        <v>5196.7542336764591</v>
      </c>
      <c r="N66" s="54">
        <f t="shared" si="12"/>
        <v>61234.088247637977</v>
      </c>
      <c r="O66" s="62"/>
      <c r="P66" s="64"/>
      <c r="S66" s="64"/>
    </row>
    <row r="67" spans="1:19" ht="24.5" customHeight="1">
      <c r="A67" s="55" t="s">
        <v>169</v>
      </c>
      <c r="B67" s="53">
        <f>Finanzierung!S31</f>
        <v>0</v>
      </c>
      <c r="C67" s="53">
        <f>Finanzierung!T31</f>
        <v>0</v>
      </c>
      <c r="D67" s="53">
        <f>Finanzierung!U31</f>
        <v>0</v>
      </c>
      <c r="E67" s="53">
        <f>Finanzierung!V31</f>
        <v>0</v>
      </c>
      <c r="F67" s="53">
        <f>Finanzierung!W31</f>
        <v>0</v>
      </c>
      <c r="G67" s="53">
        <f>Finanzierung!X31</f>
        <v>0</v>
      </c>
      <c r="H67" s="53">
        <f>Finanzierung!Y31</f>
        <v>0</v>
      </c>
      <c r="I67" s="53">
        <f>Finanzierung!Z31</f>
        <v>0</v>
      </c>
      <c r="J67" s="53">
        <f>Finanzierung!AA31</f>
        <v>0</v>
      </c>
      <c r="K67" s="53">
        <f>Finanzierung!AB31</f>
        <v>0</v>
      </c>
      <c r="L67" s="53">
        <f>Finanzierung!AC31</f>
        <v>0</v>
      </c>
      <c r="M67" s="53">
        <f>Finanzierung!AD31</f>
        <v>0</v>
      </c>
      <c r="N67" s="54">
        <f t="shared" si="12"/>
        <v>0</v>
      </c>
      <c r="O67" s="62"/>
      <c r="P67" s="64"/>
      <c r="S67" s="64"/>
    </row>
    <row r="68" spans="1:19" ht="24.5" customHeight="1">
      <c r="A68" s="56" t="s">
        <v>170</v>
      </c>
      <c r="B68" s="54">
        <f>SUM(B52:B67)</f>
        <v>118420.94697029659</v>
      </c>
      <c r="C68" s="54">
        <f t="shared" ref="C68:N68" si="13">SUM(C52:C67)</f>
        <v>111839.5537702966</v>
      </c>
      <c r="D68" s="54">
        <f t="shared" si="13"/>
        <v>112371.91057029659</v>
      </c>
      <c r="E68" s="54">
        <f t="shared" si="13"/>
        <v>117754.03517029659</v>
      </c>
      <c r="F68" s="54">
        <f t="shared" si="13"/>
        <v>129575.04650362991</v>
      </c>
      <c r="G68" s="54">
        <f t="shared" si="13"/>
        <v>127710.22450362993</v>
      </c>
      <c r="H68" s="54">
        <f t="shared" si="13"/>
        <v>134627.90250362991</v>
      </c>
      <c r="I68" s="54">
        <f t="shared" si="13"/>
        <v>146042.66383696327</v>
      </c>
      <c r="J68" s="54">
        <f t="shared" si="13"/>
        <v>144260.34183696326</v>
      </c>
      <c r="K68" s="54">
        <f t="shared" si="13"/>
        <v>147523.06433696326</v>
      </c>
      <c r="L68" s="54">
        <f t="shared" si="13"/>
        <v>150748.79573696325</v>
      </c>
      <c r="M68" s="54">
        <f t="shared" si="13"/>
        <v>159510.36047029661</v>
      </c>
      <c r="N68" s="54">
        <f t="shared" si="13"/>
        <v>1600384.8462102257</v>
      </c>
      <c r="O68" s="62"/>
    </row>
    <row r="69" spans="1:19" ht="24.5" customHeight="1">
      <c r="A69" s="56" t="s">
        <v>171</v>
      </c>
      <c r="B69" s="54">
        <f t="shared" ref="B69:N69" si="14">B48-B68</f>
        <v>-36740.596970296581</v>
      </c>
      <c r="C69" s="54">
        <f t="shared" si="14"/>
        <v>-15740.403770296602</v>
      </c>
      <c r="D69" s="54">
        <f t="shared" si="14"/>
        <v>-603.96057029659278</v>
      </c>
      <c r="E69" s="54">
        <f t="shared" si="14"/>
        <v>8752.5148297034175</v>
      </c>
      <c r="F69" s="54">
        <f t="shared" si="14"/>
        <v>129.50349637008912</v>
      </c>
      <c r="G69" s="54">
        <f t="shared" si="14"/>
        <v>5192.3254963700601</v>
      </c>
      <c r="H69" s="54">
        <f t="shared" si="14"/>
        <v>8972.6474963700748</v>
      </c>
      <c r="I69" s="54">
        <f t="shared" si="14"/>
        <v>7005.8861630367173</v>
      </c>
      <c r="J69" s="54">
        <f t="shared" si="14"/>
        <v>19486.208163036732</v>
      </c>
      <c r="K69" s="54">
        <f t="shared" si="14"/>
        <v>26470.985663036729</v>
      </c>
      <c r="L69" s="54">
        <f t="shared" si="14"/>
        <v>27402.654263036762</v>
      </c>
      <c r="M69" s="54">
        <f t="shared" si="14"/>
        <v>22798.489529703395</v>
      </c>
      <c r="N69" s="54">
        <f t="shared" si="14"/>
        <v>73126.253789774608</v>
      </c>
      <c r="O69" s="62"/>
    </row>
    <row r="70" spans="1:19" ht="24.5" customHeight="1">
      <c r="B70" s="57"/>
      <c r="C70" s="57"/>
      <c r="D70" s="57"/>
      <c r="E70" s="57"/>
      <c r="F70" s="57"/>
      <c r="G70" s="57"/>
      <c r="H70" s="57"/>
      <c r="I70" s="57"/>
      <c r="J70" s="57"/>
      <c r="K70" s="57"/>
      <c r="L70" s="57"/>
      <c r="M70" s="57"/>
      <c r="N70" s="57"/>
      <c r="O70" s="60"/>
    </row>
    <row r="71" spans="1:19" ht="24.5" customHeight="1">
      <c r="A71" s="56" t="s">
        <v>172</v>
      </c>
      <c r="B71" s="53">
        <f t="shared" ref="B71:M71" si="15">B43+B69</f>
        <v>52136.995463036626</v>
      </c>
      <c r="C71" s="53">
        <f t="shared" si="15"/>
        <v>36396.591692740025</v>
      </c>
      <c r="D71" s="53">
        <f t="shared" si="15"/>
        <v>35792.631122443432</v>
      </c>
      <c r="E71" s="53">
        <f t="shared" si="15"/>
        <v>44545.14595214685</v>
      </c>
      <c r="F71" s="53">
        <f t="shared" si="15"/>
        <v>44674.649448516939</v>
      </c>
      <c r="G71" s="53">
        <f t="shared" si="15"/>
        <v>49866.974944886999</v>
      </c>
      <c r="H71" s="53">
        <f t="shared" si="15"/>
        <v>58839.622441257074</v>
      </c>
      <c r="I71" s="53">
        <f t="shared" si="15"/>
        <v>65845.508604293791</v>
      </c>
      <c r="J71" s="53">
        <f t="shared" si="15"/>
        <v>85331.716767330523</v>
      </c>
      <c r="K71" s="53">
        <f t="shared" si="15"/>
        <v>111802.70243036725</v>
      </c>
      <c r="L71" s="53">
        <f t="shared" si="15"/>
        <v>139205.35669340403</v>
      </c>
      <c r="M71" s="53">
        <f t="shared" si="15"/>
        <v>162003.84622310742</v>
      </c>
      <c r="N71" s="53"/>
      <c r="O71" s="62"/>
    </row>
    <row r="74" spans="1:19" ht="23">
      <c r="A74" s="66" t="s">
        <v>176</v>
      </c>
    </row>
    <row r="75" spans="1:19" ht="38.75" customHeight="1">
      <c r="A75" s="49" t="s">
        <v>111</v>
      </c>
      <c r="B75" s="102" t="str">
        <f>Cover!$C$11</f>
        <v>Ellmann Consulting GmbH</v>
      </c>
    </row>
    <row r="76" spans="1:19">
      <c r="A76" s="138" t="s">
        <v>146</v>
      </c>
      <c r="B76" s="50" t="s">
        <v>115</v>
      </c>
      <c r="C76" s="50" t="s">
        <v>116</v>
      </c>
      <c r="D76" s="50" t="s">
        <v>117</v>
      </c>
      <c r="E76" s="50" t="s">
        <v>118</v>
      </c>
      <c r="F76" s="50" t="s">
        <v>119</v>
      </c>
      <c r="G76" s="50" t="s">
        <v>120</v>
      </c>
      <c r="H76" s="50" t="s">
        <v>121</v>
      </c>
      <c r="I76" s="50" t="s">
        <v>122</v>
      </c>
      <c r="J76" s="50" t="s">
        <v>123</v>
      </c>
      <c r="K76" s="50" t="s">
        <v>124</v>
      </c>
      <c r="L76" s="50" t="s">
        <v>125</v>
      </c>
      <c r="M76" s="50" t="s">
        <v>126</v>
      </c>
      <c r="N76" s="138" t="s">
        <v>127</v>
      </c>
      <c r="O76" s="61"/>
    </row>
    <row r="77" spans="1:19">
      <c r="A77" s="138"/>
      <c r="B77" s="51">
        <f>DATE(YEAR(M41),MONTH(M41)+1,DAY(M41))</f>
        <v>46388</v>
      </c>
      <c r="C77" s="51">
        <f t="shared" ref="C77:M77" si="16">DATE(YEAR(B77),MONTH(B77)+1,DAY(B77))</f>
        <v>46419</v>
      </c>
      <c r="D77" s="51">
        <f t="shared" si="16"/>
        <v>46447</v>
      </c>
      <c r="E77" s="51">
        <f t="shared" si="16"/>
        <v>46478</v>
      </c>
      <c r="F77" s="51">
        <f t="shared" si="16"/>
        <v>46508</v>
      </c>
      <c r="G77" s="51">
        <f t="shared" si="16"/>
        <v>46539</v>
      </c>
      <c r="H77" s="51">
        <f t="shared" si="16"/>
        <v>46569</v>
      </c>
      <c r="I77" s="51">
        <f t="shared" si="16"/>
        <v>46600</v>
      </c>
      <c r="J77" s="51">
        <f t="shared" si="16"/>
        <v>46631</v>
      </c>
      <c r="K77" s="51">
        <f t="shared" si="16"/>
        <v>46661</v>
      </c>
      <c r="L77" s="51">
        <f t="shared" si="16"/>
        <v>46692</v>
      </c>
      <c r="M77" s="51">
        <f t="shared" si="16"/>
        <v>46722</v>
      </c>
      <c r="N77" s="138"/>
      <c r="O77" s="61"/>
    </row>
    <row r="79" spans="1:19" ht="24" customHeight="1">
      <c r="A79" s="52" t="s">
        <v>151</v>
      </c>
      <c r="B79" s="53">
        <f>M71</f>
        <v>162003.84622310742</v>
      </c>
      <c r="C79" s="53">
        <f>B107</f>
        <v>200281.24820281085</v>
      </c>
      <c r="D79" s="53">
        <f t="shared" ref="D79:M79" si="17">C107</f>
        <v>207705.07974479286</v>
      </c>
      <c r="E79" s="53">
        <f t="shared" si="17"/>
        <v>233445.76731096636</v>
      </c>
      <c r="F79" s="53">
        <f t="shared" si="17"/>
        <v>307345.41990733647</v>
      </c>
      <c r="G79" s="53">
        <f t="shared" si="17"/>
        <v>339341.69526598521</v>
      </c>
      <c r="H79" s="53">
        <f t="shared" si="17"/>
        <v>378593.76984882541</v>
      </c>
      <c r="I79" s="53">
        <f t="shared" si="17"/>
        <v>459083.65606186213</v>
      </c>
      <c r="J79" s="53">
        <f t="shared" si="17"/>
        <v>511473.91503717744</v>
      </c>
      <c r="K79" s="53">
        <f>J107</f>
        <v>572592.47323668422</v>
      </c>
      <c r="L79" s="53">
        <f t="shared" si="17"/>
        <v>682658.2341663877</v>
      </c>
      <c r="M79" s="53">
        <f t="shared" si="17"/>
        <v>761284.59229170298</v>
      </c>
      <c r="N79" s="53"/>
      <c r="O79" s="62"/>
    </row>
    <row r="80" spans="1:19" ht="24.5" customHeight="1">
      <c r="A80" s="58" t="s">
        <v>152</v>
      </c>
      <c r="B80" s="59"/>
      <c r="C80" s="59"/>
      <c r="D80" s="59"/>
      <c r="E80" s="59"/>
      <c r="F80" s="59"/>
      <c r="G80" s="59"/>
      <c r="H80" s="59"/>
      <c r="I80" s="59"/>
      <c r="J80" s="59"/>
      <c r="K80" s="59"/>
      <c r="L80" s="59"/>
      <c r="M80" s="59"/>
      <c r="N80" s="59"/>
      <c r="O80" s="60"/>
    </row>
    <row r="81" spans="1:15" ht="24.5" customHeight="1">
      <c r="A81" s="52" t="s">
        <v>153</v>
      </c>
      <c r="B81" s="53">
        <f>IF($G$3=1,'Umsatz- und Ertragsvorschau'!B59,'Umsatz- und Ertragsvorschau'!M33)</f>
        <v>200775.9</v>
      </c>
      <c r="C81" s="53">
        <f>IF($G$3=1,'Umsatz- und Ertragsvorschau'!C59,'Umsatz- und Ertragsvorschau'!B59)</f>
        <v>217992.95</v>
      </c>
      <c r="D81" s="53">
        <f>IF($G$3=1,'Umsatz- und Ertragsvorschau'!D59,'Umsatz- und Ertragsvorschau'!C59)</f>
        <v>236460</v>
      </c>
      <c r="E81" s="53">
        <f>IF($G$3=1,'Umsatz- und Ertragsvorschau'!E59,'Umsatz- und Ertragsvorschau'!D59)</f>
        <v>254636.45</v>
      </c>
      <c r="F81" s="53">
        <f>IF($G$3=1,'Umsatz- und Ertragsvorschau'!F59,'Umsatz- und Ertragsvorschau'!E59)</f>
        <v>261272.3</v>
      </c>
      <c r="G81" s="53">
        <f>IF($G$3=1,'Umsatz- und Ertragsvorschau'!G59,'Umsatz- und Ertragsvorschau'!F59)</f>
        <v>267908.15000000002</v>
      </c>
      <c r="H81" s="53">
        <f>IF($G$3=1,'Umsatz- und Ertragsvorschau'!H59,'Umsatz- und Ertragsvorschau'!G59)</f>
        <v>277044</v>
      </c>
      <c r="I81" s="53">
        <f>IF($G$3=1,'Umsatz- und Ertragsvorschau'!I59,'Umsatz- und Ertragsvorschau'!H59)</f>
        <v>292429.84999999998</v>
      </c>
      <c r="J81" s="53">
        <f>IF($G$3=1,'Umsatz- und Ertragsvorschau'!J59,'Umsatz- und Ertragsvorschau'!I59)</f>
        <v>301565.7</v>
      </c>
      <c r="K81" s="53">
        <f>IF($G$3=1,'Umsatz- und Ertragsvorschau'!K59,'Umsatz- und Ertragsvorschau'!J59)</f>
        <v>317111.45</v>
      </c>
      <c r="L81" s="53">
        <f>IF($G$3=1,'Umsatz- und Ertragsvorschau'!L59,'Umsatz- und Ertragsvorschau'!K59)</f>
        <v>323907.20000000001</v>
      </c>
      <c r="M81" s="53">
        <f>IF($G$3=1,'Umsatz- und Ertragsvorschau'!M59,'Umsatz- und Ertragsvorschau'!L59)</f>
        <v>330702.95</v>
      </c>
      <c r="N81" s="54">
        <f>SUM(B81:M81)</f>
        <v>3281806.9000000008</v>
      </c>
      <c r="O81" s="62"/>
    </row>
    <row r="82" spans="1:15" ht="24.5" customHeight="1">
      <c r="A82" s="55" t="s">
        <v>154</v>
      </c>
      <c r="B82" s="104"/>
      <c r="C82" s="104"/>
      <c r="D82" s="104"/>
      <c r="E82" s="104"/>
      <c r="F82" s="104"/>
      <c r="G82" s="104"/>
      <c r="H82" s="104"/>
      <c r="I82" s="104"/>
      <c r="J82" s="104"/>
      <c r="K82" s="104"/>
      <c r="L82" s="104"/>
      <c r="M82" s="104"/>
      <c r="N82" s="54">
        <f>SUM(B82:M82)</f>
        <v>0</v>
      </c>
      <c r="O82" s="62"/>
    </row>
    <row r="83" spans="1:15" ht="24.5" customHeight="1">
      <c r="A83" s="55" t="s">
        <v>155</v>
      </c>
      <c r="B83" s="104">
        <f>Finanzierung!AE33</f>
        <v>0</v>
      </c>
      <c r="C83" s="104">
        <f>Finanzierung!AF33</f>
        <v>0</v>
      </c>
      <c r="D83" s="104">
        <f>Finanzierung!AG33</f>
        <v>0</v>
      </c>
      <c r="E83" s="104">
        <f>Finanzierung!AH33</f>
        <v>0</v>
      </c>
      <c r="F83" s="104">
        <f>Finanzierung!AI33</f>
        <v>0</v>
      </c>
      <c r="G83" s="104">
        <f>Finanzierung!AJ33</f>
        <v>0</v>
      </c>
      <c r="H83" s="104">
        <f>Finanzierung!AK33</f>
        <v>0</v>
      </c>
      <c r="I83" s="104">
        <f>Finanzierung!AL33</f>
        <v>0</v>
      </c>
      <c r="J83" s="104">
        <f>Finanzierung!AM33</f>
        <v>0</v>
      </c>
      <c r="K83" s="104">
        <f>Finanzierung!AN33</f>
        <v>0</v>
      </c>
      <c r="L83" s="104">
        <f>Finanzierung!AO33</f>
        <v>0</v>
      </c>
      <c r="M83" s="104">
        <f>Finanzierung!AP33</f>
        <v>0</v>
      </c>
      <c r="N83" s="54">
        <f>SUM(B83:M83)</f>
        <v>0</v>
      </c>
      <c r="O83" s="62"/>
    </row>
    <row r="84" spans="1:15" ht="24.5" customHeight="1">
      <c r="A84" s="56" t="s">
        <v>156</v>
      </c>
      <c r="B84" s="54">
        <f t="shared" ref="B84:M84" si="18">SUM(B81:B83)</f>
        <v>200775.9</v>
      </c>
      <c r="C84" s="54">
        <f t="shared" si="18"/>
        <v>217992.95</v>
      </c>
      <c r="D84" s="54">
        <f t="shared" si="18"/>
        <v>236460</v>
      </c>
      <c r="E84" s="54">
        <f t="shared" si="18"/>
        <v>254636.45</v>
      </c>
      <c r="F84" s="54">
        <f t="shared" si="18"/>
        <v>261272.3</v>
      </c>
      <c r="G84" s="54">
        <f t="shared" si="18"/>
        <v>267908.15000000002</v>
      </c>
      <c r="H84" s="54">
        <f t="shared" si="18"/>
        <v>277044</v>
      </c>
      <c r="I84" s="54">
        <f t="shared" si="18"/>
        <v>292429.84999999998</v>
      </c>
      <c r="J84" s="54">
        <f t="shared" si="18"/>
        <v>301565.7</v>
      </c>
      <c r="K84" s="54">
        <f t="shared" si="18"/>
        <v>317111.45</v>
      </c>
      <c r="L84" s="54">
        <f t="shared" si="18"/>
        <v>323907.20000000001</v>
      </c>
      <c r="M84" s="54">
        <f t="shared" si="18"/>
        <v>330702.95</v>
      </c>
      <c r="N84" s="54">
        <f>SUM(B84:M84)</f>
        <v>3281806.9000000008</v>
      </c>
      <c r="O84" s="62"/>
    </row>
    <row r="85" spans="1:15" ht="24.5" customHeight="1">
      <c r="A85" s="56" t="s">
        <v>157</v>
      </c>
      <c r="B85" s="54">
        <f t="shared" ref="B85:M85" si="19">B79+B84</f>
        <v>362779.74622310745</v>
      </c>
      <c r="C85" s="54">
        <f t="shared" si="19"/>
        <v>418274.19820281083</v>
      </c>
      <c r="D85" s="54">
        <f t="shared" si="19"/>
        <v>444165.07974479289</v>
      </c>
      <c r="E85" s="54">
        <f t="shared" si="19"/>
        <v>488082.21731096634</v>
      </c>
      <c r="F85" s="54">
        <f t="shared" si="19"/>
        <v>568617.7199073364</v>
      </c>
      <c r="G85" s="54">
        <f t="shared" si="19"/>
        <v>607249.84526598523</v>
      </c>
      <c r="H85" s="54">
        <f t="shared" si="19"/>
        <v>655637.76984882541</v>
      </c>
      <c r="I85" s="54">
        <f t="shared" si="19"/>
        <v>751513.50606186211</v>
      </c>
      <c r="J85" s="54">
        <f t="shared" si="19"/>
        <v>813039.61503717746</v>
      </c>
      <c r="K85" s="54">
        <f t="shared" si="19"/>
        <v>889703.92323668418</v>
      </c>
      <c r="L85" s="54">
        <f t="shared" si="19"/>
        <v>1006565.4341663877</v>
      </c>
      <c r="M85" s="54">
        <f t="shared" si="19"/>
        <v>1091987.5422917029</v>
      </c>
      <c r="N85" s="54"/>
      <c r="O85" s="62"/>
    </row>
    <row r="86" spans="1:15" ht="24.5" customHeight="1">
      <c r="B86" s="57"/>
      <c r="C86" s="57"/>
      <c r="D86" s="57"/>
      <c r="E86" s="57"/>
      <c r="F86" s="57"/>
      <c r="G86" s="57"/>
      <c r="H86" s="57"/>
      <c r="I86" s="57"/>
      <c r="J86" s="57"/>
      <c r="K86" s="57"/>
      <c r="L86" s="57"/>
      <c r="M86" s="57"/>
      <c r="N86" s="57"/>
      <c r="O86" s="60"/>
    </row>
    <row r="87" spans="1:15" ht="24.5" customHeight="1">
      <c r="A87" s="58" t="s">
        <v>158</v>
      </c>
      <c r="B87" s="59"/>
      <c r="C87" s="59"/>
      <c r="D87" s="59"/>
      <c r="E87" s="59"/>
      <c r="F87" s="59"/>
      <c r="G87" s="59"/>
      <c r="H87" s="59"/>
      <c r="I87" s="59"/>
      <c r="J87" s="59"/>
      <c r="K87" s="59"/>
      <c r="L87" s="59"/>
      <c r="M87" s="59"/>
      <c r="N87" s="59"/>
      <c r="O87" s="60"/>
    </row>
    <row r="88" spans="1:15" ht="24.5" customHeight="1">
      <c r="A88" s="55" t="s">
        <v>88</v>
      </c>
      <c r="B88" s="53">
        <f>CAPEX!AE28</f>
        <v>0</v>
      </c>
      <c r="C88" s="53">
        <f>CAPEX!AF28</f>
        <v>0</v>
      </c>
      <c r="D88" s="53">
        <f>CAPEX!AG28</f>
        <v>0</v>
      </c>
      <c r="E88" s="53">
        <f>CAPEX!AH28</f>
        <v>0</v>
      </c>
      <c r="F88" s="53">
        <f>CAPEX!AI28</f>
        <v>0</v>
      </c>
      <c r="G88" s="53">
        <f>CAPEX!AJ28</f>
        <v>0</v>
      </c>
      <c r="H88" s="53">
        <f>CAPEX!AK28</f>
        <v>0</v>
      </c>
      <c r="I88" s="53">
        <f>CAPEX!AL28</f>
        <v>0</v>
      </c>
      <c r="J88" s="53">
        <f>CAPEX!AM28</f>
        <v>0</v>
      </c>
      <c r="K88" s="53">
        <f>CAPEX!AN28</f>
        <v>0</v>
      </c>
      <c r="L88" s="53">
        <f>CAPEX!AO28</f>
        <v>0</v>
      </c>
      <c r="M88" s="53">
        <f>CAPEX!AP28</f>
        <v>0</v>
      </c>
      <c r="N88" s="54">
        <f t="shared" ref="N88:N103" si="20">SUM(B88:M88)</f>
        <v>0</v>
      </c>
      <c r="O88" s="62"/>
    </row>
    <row r="89" spans="1:15" ht="24.5" customHeight="1">
      <c r="A89" s="55" t="s">
        <v>159</v>
      </c>
      <c r="B89" s="53">
        <f>'Umsatz- und Ertragsvorschau'!B60</f>
        <v>24630</v>
      </c>
      <c r="C89" s="53">
        <f>'Umsatz- und Ertragsvorschau'!C60</f>
        <v>27915</v>
      </c>
      <c r="D89" s="53">
        <f>'Umsatz- und Ertragsvorschau'!D60</f>
        <v>28800</v>
      </c>
      <c r="E89" s="53">
        <f>'Umsatz- und Ertragsvorschau'!E60</f>
        <v>29865</v>
      </c>
      <c r="F89" s="53">
        <f>'Umsatz- und Ertragsvorschau'!F60</f>
        <v>31110</v>
      </c>
      <c r="G89" s="53">
        <f>'Umsatz- und Ertragsvorschau'!G60</f>
        <v>32355</v>
      </c>
      <c r="H89" s="53">
        <f>'Umsatz- und Ertragsvorschau'!H60</f>
        <v>34200</v>
      </c>
      <c r="I89" s="53">
        <f>'Umsatz- und Ertragsvorschau'!I60</f>
        <v>36645</v>
      </c>
      <c r="J89" s="53">
        <f>'Umsatz- und Ertragsvorschau'!J60</f>
        <v>37890</v>
      </c>
      <c r="K89" s="53">
        <f>'Umsatz- und Ertragsvorschau'!K60</f>
        <v>39165</v>
      </c>
      <c r="L89" s="53">
        <f>'Umsatz- und Ertragsvorschau'!L60</f>
        <v>40440</v>
      </c>
      <c r="M89" s="53">
        <f>'Umsatz- und Ertragsvorschau'!M60</f>
        <v>41715</v>
      </c>
      <c r="N89" s="54">
        <f t="shared" si="20"/>
        <v>404730</v>
      </c>
      <c r="O89" s="62"/>
    </row>
    <row r="90" spans="1:15" ht="24.5" customHeight="1">
      <c r="A90" s="55" t="s">
        <v>160</v>
      </c>
      <c r="B90" s="53">
        <f>'Umsatz- und Ertragsvorschau'!B61</f>
        <v>24000</v>
      </c>
      <c r="C90" s="53">
        <f>'Umsatz- und Ertragsvorschau'!C61</f>
        <v>24000</v>
      </c>
      <c r="D90" s="53">
        <f>'Umsatz- und Ertragsvorschau'!D61</f>
        <v>24000</v>
      </c>
      <c r="E90" s="53">
        <f>'Umsatz- und Ertragsvorschau'!E61</f>
        <v>28800</v>
      </c>
      <c r="F90" s="53">
        <f>'Umsatz- und Ertragsvorschau'!F61</f>
        <v>33600</v>
      </c>
      <c r="G90" s="53">
        <f>'Umsatz- und Ertragsvorschau'!G61</f>
        <v>33600</v>
      </c>
      <c r="H90" s="53">
        <f>'Umsatz- und Ertragsvorschau'!H61</f>
        <v>33600</v>
      </c>
      <c r="I90" s="53">
        <f>'Umsatz- und Ertragsvorschau'!I61</f>
        <v>33600</v>
      </c>
      <c r="J90" s="53">
        <f>'Umsatz- und Ertragsvorschau'!J61</f>
        <v>33600</v>
      </c>
      <c r="K90" s="53">
        <f>'Umsatz- und Ertragsvorschau'!K61</f>
        <v>34800</v>
      </c>
      <c r="L90" s="53">
        <f>'Umsatz- und Ertragsvorschau'!L61</f>
        <v>37200</v>
      </c>
      <c r="M90" s="53">
        <f>'Umsatz- und Ertragsvorschau'!M61</f>
        <v>37200</v>
      </c>
      <c r="N90" s="54">
        <f t="shared" si="20"/>
        <v>378000</v>
      </c>
      <c r="O90" s="62"/>
    </row>
    <row r="91" spans="1:15" ht="24.5" customHeight="1">
      <c r="A91" s="55" t="s">
        <v>161</v>
      </c>
      <c r="B91" s="53">
        <f>'Umsatz- und Ertragsvorschau'!B65</f>
        <v>66666.666666666672</v>
      </c>
      <c r="C91" s="53">
        <f>'Umsatz- und Ertragsvorschau'!C65</f>
        <v>73437.5</v>
      </c>
      <c r="D91" s="53">
        <f>'Umsatz- und Ertragsvorschau'!D65</f>
        <v>73437.5</v>
      </c>
      <c r="E91" s="53">
        <f>'Umsatz- und Ertragsvorschau'!E65</f>
        <v>73437.5</v>
      </c>
      <c r="F91" s="53">
        <f>'Umsatz- und Ertragsvorschau'!F65</f>
        <v>77083.333333333328</v>
      </c>
      <c r="G91" s="53">
        <f>'Umsatz- und Ertragsvorschau'!G65</f>
        <v>77083.333333333328</v>
      </c>
      <c r="H91" s="53">
        <f>'Umsatz- und Ertragsvorschau'!H65</f>
        <v>77083.333333333328</v>
      </c>
      <c r="I91" s="53">
        <f>'Umsatz- und Ertragsvorschau'!I65</f>
        <v>80729.166666666672</v>
      </c>
      <c r="J91" s="53">
        <f>'Umsatz- und Ertragsvorschau'!J65</f>
        <v>80729.166666666672</v>
      </c>
      <c r="K91" s="53">
        <f>'Umsatz- und Ertragsvorschau'!K65</f>
        <v>80729.166666666672</v>
      </c>
      <c r="L91" s="53">
        <f>'Umsatz- und Ertragsvorschau'!L65</f>
        <v>80729.166666666672</v>
      </c>
      <c r="M91" s="53">
        <f>'Umsatz- und Ertragsvorschau'!M65</f>
        <v>84375</v>
      </c>
      <c r="N91" s="54">
        <f t="shared" si="20"/>
        <v>925520.83333333314</v>
      </c>
      <c r="O91" s="62"/>
    </row>
    <row r="92" spans="1:15" ht="24.5" customHeight="1">
      <c r="A92" s="35" t="s">
        <v>134</v>
      </c>
      <c r="B92" s="53">
        <f>'Umsatz- und Ertragsvorschau'!B66</f>
        <v>2750</v>
      </c>
      <c r="C92" s="53">
        <f>'Umsatz- und Ertragsvorschau'!C66</f>
        <v>2750</v>
      </c>
      <c r="D92" s="53">
        <f>'Umsatz- und Ertragsvorschau'!D66</f>
        <v>2750</v>
      </c>
      <c r="E92" s="53">
        <f>'Umsatz- und Ertragsvorschau'!E66</f>
        <v>2750</v>
      </c>
      <c r="F92" s="53">
        <f>'Umsatz- und Ertragsvorschau'!F66</f>
        <v>3300</v>
      </c>
      <c r="G92" s="53">
        <f>'Umsatz- und Ertragsvorschau'!G66</f>
        <v>3300</v>
      </c>
      <c r="H92" s="53">
        <f>'Umsatz- und Ertragsvorschau'!H66</f>
        <v>3300</v>
      </c>
      <c r="I92" s="53">
        <f>'Umsatz- und Ertragsvorschau'!I66</f>
        <v>3300</v>
      </c>
      <c r="J92" s="53">
        <f>'Umsatz- und Ertragsvorschau'!J66</f>
        <v>3300</v>
      </c>
      <c r="K92" s="53">
        <f>'Umsatz- und Ertragsvorschau'!K66</f>
        <v>3300</v>
      </c>
      <c r="L92" s="53">
        <f>'Umsatz- und Ertragsvorschau'!L66</f>
        <v>3300</v>
      </c>
      <c r="M92" s="53">
        <f>'Umsatz- und Ertragsvorschau'!M66</f>
        <v>3300</v>
      </c>
      <c r="N92" s="54">
        <f t="shared" si="20"/>
        <v>37400</v>
      </c>
      <c r="O92" s="62"/>
    </row>
    <row r="93" spans="1:15" ht="24.5" customHeight="1">
      <c r="A93" s="35" t="s">
        <v>135</v>
      </c>
      <c r="B93" s="53">
        <f>'Umsatz- und Ertragsvorschau'!B67</f>
        <v>2400</v>
      </c>
      <c r="C93" s="53">
        <f>'Umsatz- und Ertragsvorschau'!C67</f>
        <v>5100</v>
      </c>
      <c r="D93" s="53">
        <f>'Umsatz- und Ertragsvorschau'!D67</f>
        <v>2600</v>
      </c>
      <c r="E93" s="53">
        <f>'Umsatz- und Ertragsvorschau'!E67</f>
        <v>2600</v>
      </c>
      <c r="F93" s="53">
        <f>'Umsatz- und Ertragsvorschau'!F67</f>
        <v>6300</v>
      </c>
      <c r="G93" s="53">
        <f>'Umsatz- und Ertragsvorschau'!G67</f>
        <v>2800</v>
      </c>
      <c r="H93" s="53">
        <f>'Umsatz- und Ertragsvorschau'!H67</f>
        <v>2800</v>
      </c>
      <c r="I93" s="53">
        <f>'Umsatz- und Ertragsvorschau'!I67</f>
        <v>5500</v>
      </c>
      <c r="J93" s="53">
        <f>'Umsatz- und Ertragsvorschau'!J67</f>
        <v>3000</v>
      </c>
      <c r="K93" s="53">
        <f>'Umsatz- und Ertragsvorschau'!K67</f>
        <v>3000</v>
      </c>
      <c r="L93" s="53">
        <f>'Umsatz- und Ertragsvorschau'!L67</f>
        <v>3000</v>
      </c>
      <c r="M93" s="53">
        <f>'Umsatz- und Ertragsvorschau'!M67</f>
        <v>5700</v>
      </c>
      <c r="N93" s="54">
        <f t="shared" si="20"/>
        <v>44800</v>
      </c>
      <c r="O93" s="62"/>
    </row>
    <row r="94" spans="1:15" ht="24.5" customHeight="1">
      <c r="A94" s="35" t="s">
        <v>136</v>
      </c>
      <c r="B94" s="53">
        <f>'Umsatz- und Ertragsvorschau'!B68</f>
        <v>300</v>
      </c>
      <c r="C94" s="53">
        <f>'Umsatz- und Ertragsvorschau'!C68</f>
        <v>325</v>
      </c>
      <c r="D94" s="53">
        <f>'Umsatz- und Ertragsvorschau'!D68</f>
        <v>325</v>
      </c>
      <c r="E94" s="53">
        <f>'Umsatz- und Ertragsvorschau'!E68</f>
        <v>325</v>
      </c>
      <c r="F94" s="53">
        <f>'Umsatz- und Ertragsvorschau'!F68</f>
        <v>350</v>
      </c>
      <c r="G94" s="53">
        <f>'Umsatz- und Ertragsvorschau'!G68</f>
        <v>350</v>
      </c>
      <c r="H94" s="53">
        <f>'Umsatz- und Ertragsvorschau'!H68</f>
        <v>350</v>
      </c>
      <c r="I94" s="53">
        <f>'Umsatz- und Ertragsvorschau'!I68</f>
        <v>375</v>
      </c>
      <c r="J94" s="53">
        <f>'Umsatz- und Ertragsvorschau'!J68</f>
        <v>375</v>
      </c>
      <c r="K94" s="53">
        <f>'Umsatz- und Ertragsvorschau'!K68</f>
        <v>375</v>
      </c>
      <c r="L94" s="53">
        <f>'Umsatz- und Ertragsvorschau'!L68</f>
        <v>375</v>
      </c>
      <c r="M94" s="53">
        <f>'Umsatz- und Ertragsvorschau'!M68</f>
        <v>400</v>
      </c>
      <c r="N94" s="54">
        <f t="shared" si="20"/>
        <v>4225</v>
      </c>
      <c r="O94" s="62"/>
    </row>
    <row r="95" spans="1:15" ht="24.5" customHeight="1">
      <c r="A95" s="35" t="s">
        <v>137</v>
      </c>
      <c r="B95" s="53">
        <f>'Umsatz- und Ertragsvorschau'!B69</f>
        <v>867.44256666666661</v>
      </c>
      <c r="C95" s="53">
        <f>'Umsatz- und Ertragsvorschau'!C69</f>
        <v>899.65961666666669</v>
      </c>
      <c r="D95" s="53">
        <f>'Umsatz- und Ertragsvorschau'!D69</f>
        <v>918.12666666666678</v>
      </c>
      <c r="E95" s="53">
        <f>'Umsatz- und Ertragsvorschau'!E69</f>
        <v>936.30311666666671</v>
      </c>
      <c r="F95" s="53">
        <f>'Umsatz- und Ertragsvorschau'!F69</f>
        <v>957.9389666666666</v>
      </c>
      <c r="G95" s="53">
        <f>'Umsatz- und Ertragsvorschau'!G69</f>
        <v>964.57481666666672</v>
      </c>
      <c r="H95" s="53">
        <f>'Umsatz- und Ertragsvorschau'!H69</f>
        <v>973.71066666666661</v>
      </c>
      <c r="I95" s="53">
        <f>'Umsatz- und Ertragsvorschau'!I69</f>
        <v>1004.0965166666667</v>
      </c>
      <c r="J95" s="53">
        <f>'Umsatz- und Ertragsvorschau'!J69</f>
        <v>1013.2323666666666</v>
      </c>
      <c r="K95" s="53">
        <f>'Umsatz- und Ertragsvorschau'!K69</f>
        <v>1028.7781166666666</v>
      </c>
      <c r="L95" s="53">
        <f>'Umsatz- und Ertragsvorschau'!L69</f>
        <v>1035.5738666666666</v>
      </c>
      <c r="M95" s="53">
        <f>'Umsatz- und Ertragsvorschau'!M69</f>
        <v>1057.3696166666666</v>
      </c>
      <c r="N95" s="54">
        <f t="shared" si="20"/>
        <v>11656.8069</v>
      </c>
      <c r="O95" s="62"/>
    </row>
    <row r="96" spans="1:15" ht="24.5" customHeight="1">
      <c r="A96" s="35" t="s">
        <v>138</v>
      </c>
      <c r="B96" s="53">
        <f>'Umsatz- und Ertragsvorschau'!B70</f>
        <v>30500</v>
      </c>
      <c r="C96" s="53">
        <f>'Umsatz- und Ertragsvorschau'!C70</f>
        <v>30500</v>
      </c>
      <c r="D96" s="53">
        <f>'Umsatz- und Ertragsvorschau'!D70</f>
        <v>30500</v>
      </c>
      <c r="E96" s="53">
        <f>'Umsatz- und Ertragsvorschau'!E70</f>
        <v>30500</v>
      </c>
      <c r="F96" s="53">
        <f>'Umsatz- und Ertragsvorschau'!F70</f>
        <v>30500</v>
      </c>
      <c r="G96" s="53">
        <f>'Umsatz- und Ertragsvorschau'!G70</f>
        <v>30500</v>
      </c>
      <c r="H96" s="53">
        <f>'Umsatz- und Ertragsvorschau'!H70</f>
        <v>32500</v>
      </c>
      <c r="I96" s="53">
        <f>'Umsatz- und Ertragsvorschau'!I70</f>
        <v>32500</v>
      </c>
      <c r="J96" s="53">
        <f>'Umsatz- und Ertragsvorschau'!J70</f>
        <v>32500</v>
      </c>
      <c r="K96" s="53">
        <f>'Umsatz- und Ertragsvorschau'!K70</f>
        <v>32500</v>
      </c>
      <c r="L96" s="53">
        <f>'Umsatz- und Ertragsvorschau'!L70</f>
        <v>32500</v>
      </c>
      <c r="M96" s="53">
        <f>'Umsatz- und Ertragsvorschau'!M70</f>
        <v>32500</v>
      </c>
      <c r="N96" s="54">
        <f t="shared" si="20"/>
        <v>378000</v>
      </c>
      <c r="O96" s="62"/>
    </row>
    <row r="97" spans="1:19" ht="24.5" customHeight="1">
      <c r="A97" s="35" t="s">
        <v>139</v>
      </c>
      <c r="B97" s="53">
        <f>'Umsatz- und Ertragsvorschau'!B71</f>
        <v>1200</v>
      </c>
      <c r="C97" s="53">
        <f>'Umsatz- und Ertragsvorschau'!C71</f>
        <v>1800</v>
      </c>
      <c r="D97" s="53">
        <f>'Umsatz- und Ertragsvorschau'!D71</f>
        <v>1800</v>
      </c>
      <c r="E97" s="53">
        <f>'Umsatz- und Ertragsvorschau'!E71</f>
        <v>1800</v>
      </c>
      <c r="F97" s="53">
        <f>'Umsatz- und Ertragsvorschau'!F71</f>
        <v>1800</v>
      </c>
      <c r="G97" s="53">
        <f>'Umsatz- und Ertragsvorschau'!G71</f>
        <v>1800</v>
      </c>
      <c r="H97" s="53">
        <f>'Umsatz- und Ertragsvorschau'!H71</f>
        <v>1800</v>
      </c>
      <c r="I97" s="53">
        <f>'Umsatz- und Ertragsvorschau'!I71</f>
        <v>1800</v>
      </c>
      <c r="J97" s="53">
        <f>'Umsatz- und Ertragsvorschau'!J71</f>
        <v>1800</v>
      </c>
      <c r="K97" s="53">
        <f>'Umsatz- und Ertragsvorschau'!K71</f>
        <v>1800</v>
      </c>
      <c r="L97" s="53">
        <f>'Umsatz- und Ertragsvorschau'!L71</f>
        <v>1800</v>
      </c>
      <c r="M97" s="53">
        <f>'Umsatz- und Ertragsvorschau'!M71</f>
        <v>1800</v>
      </c>
      <c r="N97" s="54">
        <f t="shared" si="20"/>
        <v>21000</v>
      </c>
      <c r="O97" s="62"/>
    </row>
    <row r="98" spans="1:19" ht="24.5" customHeight="1">
      <c r="A98" s="35" t="s">
        <v>140</v>
      </c>
      <c r="B98" s="53">
        <f>'Umsatz- und Ertragsvorschau'!B72</f>
        <v>2007.759</v>
      </c>
      <c r="C98" s="53">
        <f>'Umsatz- und Ertragsvorschau'!C72</f>
        <v>2179.9295000000002</v>
      </c>
      <c r="D98" s="53">
        <f>'Umsatz- und Ertragsvorschau'!D72</f>
        <v>2364.6</v>
      </c>
      <c r="E98" s="53">
        <f>'Umsatz- und Ertragsvorschau'!E72</f>
        <v>2546.3645000000001</v>
      </c>
      <c r="F98" s="53">
        <f>'Umsatz- und Ertragsvorschau'!F72</f>
        <v>2612.723</v>
      </c>
      <c r="G98" s="53">
        <f>'Umsatz- und Ertragsvorschau'!G72</f>
        <v>2679.0815000000002</v>
      </c>
      <c r="H98" s="53">
        <f>'Umsatz- und Ertragsvorschau'!H72</f>
        <v>2770.44</v>
      </c>
      <c r="I98" s="53">
        <f>'Umsatz- und Ertragsvorschau'!I72</f>
        <v>2924.2984999999999</v>
      </c>
      <c r="J98" s="53">
        <f>'Umsatz- und Ertragsvorschau'!J72</f>
        <v>3015.6570000000002</v>
      </c>
      <c r="K98" s="53">
        <f>'Umsatz- und Ertragsvorschau'!K72</f>
        <v>3171.1145000000001</v>
      </c>
      <c r="L98" s="53">
        <f>'Umsatz- und Ertragsvorschau'!L72</f>
        <v>3239.0720000000001</v>
      </c>
      <c r="M98" s="53">
        <f>'Umsatz- und Ertragsvorschau'!M72</f>
        <v>3307.0295000000001</v>
      </c>
      <c r="N98" s="54">
        <f t="shared" si="20"/>
        <v>32818.068999999996</v>
      </c>
      <c r="O98" s="62"/>
    </row>
    <row r="99" spans="1:19" ht="24.5" customHeight="1">
      <c r="A99" s="35" t="s">
        <v>141</v>
      </c>
      <c r="B99" s="53">
        <f>'Umsatz- und Ertragsvorschau'!B73</f>
        <v>1962.5530391745397</v>
      </c>
      <c r="C99" s="53">
        <f>'Umsatz- und Ertragsvorschau'!C73</f>
        <v>1945.1727833485775</v>
      </c>
      <c r="D99" s="53">
        <f>'Umsatz- und Ertragsvorschau'!D73</f>
        <v>1927.7345933365286</v>
      </c>
      <c r="E99" s="53">
        <f>'Umsatz- und Ertragsvorschau'!E73</f>
        <v>1910.2382760244393</v>
      </c>
      <c r="F99" s="53">
        <f>'Umsatz- und Ertragsvorschau'!F73</f>
        <v>1892.6836376546437</v>
      </c>
      <c r="G99" s="53">
        <f>'Umsatz- und Ertragsvorschau'!G73</f>
        <v>1875.0704838236149</v>
      </c>
      <c r="H99" s="53">
        <f>'Umsatz- und Ertragsvorschau'!H73</f>
        <v>1857.398619479816</v>
      </c>
      <c r="I99" s="53">
        <f>'Umsatz- und Ertragsvorschau'!I73</f>
        <v>1839.6678489215376</v>
      </c>
      <c r="J99" s="53">
        <f>'Umsatz- und Ertragsvorschau'!J73</f>
        <v>1821.877975794732</v>
      </c>
      <c r="K99" s="53">
        <f>'Umsatz- und Ertragsvorschau'!K73</f>
        <v>1804.0288030908368</v>
      </c>
      <c r="L99" s="53">
        <f>'Umsatz- und Ertragsvorschau'!L73</f>
        <v>1786.1201331445955</v>
      </c>
      <c r="M99" s="53">
        <f>'Umsatz- und Ertragsvorschau'!M73</f>
        <v>1768.1517676318665</v>
      </c>
      <c r="N99" s="54">
        <f t="shared" si="20"/>
        <v>22390.697961425725</v>
      </c>
      <c r="O99" s="62"/>
    </row>
    <row r="100" spans="1:19" ht="24.5" customHeight="1">
      <c r="A100" s="55" t="s">
        <v>162</v>
      </c>
      <c r="B100" s="53"/>
      <c r="C100" s="53">
        <f>IF('Umsatz- und Ertragsvorschau'!N77&gt;0,'Umsatz- und Ertragsvorschau'!N77*0.035*S100/4,0)</f>
        <v>34485.399554388059</v>
      </c>
      <c r="D100" s="53">
        <f>IF('Umsatz- und Ertragsvorschau'!N77&gt;0,'Umsatz- und Ertragsvorschau'!N77*Q100/4,0)</f>
        <v>36047.455980196573</v>
      </c>
      <c r="E100" s="53"/>
      <c r="F100" s="53">
        <f>$C100</f>
        <v>34485.399554388059</v>
      </c>
      <c r="G100" s="53">
        <f>$D100</f>
        <v>36047.455980196573</v>
      </c>
      <c r="H100" s="53"/>
      <c r="I100" s="53">
        <f>$C100</f>
        <v>34485.399554388059</v>
      </c>
      <c r="J100" s="53">
        <f>$D100</f>
        <v>36047.455980196573</v>
      </c>
      <c r="K100" s="53"/>
      <c r="L100" s="53">
        <f>$C100</f>
        <v>34485.399554388059</v>
      </c>
      <c r="M100" s="53">
        <f>$D100</f>
        <v>36047.455980196573</v>
      </c>
      <c r="N100" s="54">
        <f t="shared" si="20"/>
        <v>282131.42213833856</v>
      </c>
      <c r="O100" s="52" t="str">
        <f>O64</f>
        <v>Kapitalgesellschaft</v>
      </c>
      <c r="P100" s="52" t="str">
        <f>IF(O100="Kapitalgesellschaft","Körperschaftsteuer:","Einkommensteuer:")</f>
        <v>Körperschaftsteuer:</v>
      </c>
      <c r="Q100" s="63">
        <f>IF(O100="Kapitalgesellschaft",15%,"")</f>
        <v>0.15</v>
      </c>
      <c r="R100" s="52" t="s">
        <v>164</v>
      </c>
      <c r="S100" s="65">
        <f>S64</f>
        <v>4.0999999999999996</v>
      </c>
    </row>
    <row r="101" spans="1:19" ht="24.5" customHeight="1">
      <c r="A101" s="55" t="s">
        <v>165</v>
      </c>
      <c r="B101" s="53">
        <f>HR!AE48</f>
        <v>0</v>
      </c>
      <c r="C101" s="53">
        <f>HR!AF48</f>
        <v>0</v>
      </c>
      <c r="D101" s="53">
        <f>HR!AG48</f>
        <v>0</v>
      </c>
      <c r="E101" s="53">
        <f>HR!AH48</f>
        <v>0</v>
      </c>
      <c r="F101" s="53">
        <f>HR!AI48</f>
        <v>0</v>
      </c>
      <c r="G101" s="53">
        <f>HR!AJ48</f>
        <v>0</v>
      </c>
      <c r="H101" s="53">
        <f>HR!AK48</f>
        <v>0</v>
      </c>
      <c r="I101" s="53">
        <f>HR!AL48</f>
        <v>0</v>
      </c>
      <c r="J101" s="53">
        <f>HR!AM48</f>
        <v>0</v>
      </c>
      <c r="K101" s="53">
        <f>HR!AN48</f>
        <v>0</v>
      </c>
      <c r="L101" s="53">
        <f>HR!AO48</f>
        <v>0</v>
      </c>
      <c r="M101" s="53">
        <f>HR!AP48</f>
        <v>0</v>
      </c>
      <c r="N101" s="54">
        <f t="shared" si="20"/>
        <v>0</v>
      </c>
      <c r="O101" s="62"/>
      <c r="P101" s="64" t="s">
        <v>166</v>
      </c>
      <c r="S101" s="64" t="s">
        <v>167</v>
      </c>
    </row>
    <row r="102" spans="1:19" ht="24.5" customHeight="1">
      <c r="A102" s="55" t="s">
        <v>168</v>
      </c>
      <c r="B102" s="53">
        <f>Finanzierung!AE25</f>
        <v>5214.0767477887139</v>
      </c>
      <c r="C102" s="53">
        <f>Finanzierung!AF25</f>
        <v>5231.4570036146761</v>
      </c>
      <c r="D102" s="53">
        <f>Finanzierung!AG25</f>
        <v>5248.8951936267249</v>
      </c>
      <c r="E102" s="53">
        <f>Finanzierung!AH25</f>
        <v>5266.3915109388145</v>
      </c>
      <c r="F102" s="53">
        <f>Finanzierung!AI25</f>
        <v>5283.9461493086101</v>
      </c>
      <c r="G102" s="53">
        <f>Finanzierung!AJ25</f>
        <v>5301.5593031396384</v>
      </c>
      <c r="H102" s="53">
        <f>Finanzierung!AK25</f>
        <v>5319.2311674834373</v>
      </c>
      <c r="I102" s="53">
        <f>Finanzierung!AL25</f>
        <v>5336.9619380417162</v>
      </c>
      <c r="J102" s="53">
        <f>Finanzierung!AM25</f>
        <v>5354.7518111685213</v>
      </c>
      <c r="K102" s="53">
        <f>Finanzierung!AN25</f>
        <v>5372.6009838724167</v>
      </c>
      <c r="L102" s="53">
        <f>Finanzierung!AO25</f>
        <v>5390.5096538186581</v>
      </c>
      <c r="M102" s="53">
        <f>Finanzierung!AP25</f>
        <v>5408.4780193313873</v>
      </c>
      <c r="N102" s="54">
        <f t="shared" si="20"/>
        <v>63728.85948213331</v>
      </c>
      <c r="O102" s="62"/>
      <c r="P102" s="64"/>
      <c r="S102" s="64"/>
    </row>
    <row r="103" spans="1:19" ht="24.5" customHeight="1">
      <c r="A103" s="55" t="s">
        <v>169</v>
      </c>
      <c r="B103" s="53">
        <f>Finanzierung!AE31</f>
        <v>0</v>
      </c>
      <c r="C103" s="53">
        <f>Finanzierung!AF31</f>
        <v>0</v>
      </c>
      <c r="D103" s="53">
        <f>Finanzierung!AG31</f>
        <v>0</v>
      </c>
      <c r="E103" s="53">
        <f>Finanzierung!AH31</f>
        <v>0</v>
      </c>
      <c r="F103" s="53">
        <f>Finanzierung!AI31</f>
        <v>0</v>
      </c>
      <c r="G103" s="53">
        <f>Finanzierung!AJ31</f>
        <v>0</v>
      </c>
      <c r="H103" s="53">
        <f>Finanzierung!AK31</f>
        <v>0</v>
      </c>
      <c r="I103" s="53">
        <f>Finanzierung!AL31</f>
        <v>0</v>
      </c>
      <c r="J103" s="53">
        <f>Finanzierung!AM31</f>
        <v>0</v>
      </c>
      <c r="K103" s="53">
        <f>Finanzierung!AN31</f>
        <v>0</v>
      </c>
      <c r="L103" s="53">
        <f>Finanzierung!AO31</f>
        <v>0</v>
      </c>
      <c r="M103" s="53">
        <f>Finanzierung!AP31</f>
        <v>0</v>
      </c>
      <c r="N103" s="54">
        <f t="shared" si="20"/>
        <v>0</v>
      </c>
      <c r="O103" s="62"/>
      <c r="P103" s="64"/>
      <c r="S103" s="64"/>
    </row>
    <row r="104" spans="1:19" ht="24.5" customHeight="1">
      <c r="A104" s="56" t="s">
        <v>170</v>
      </c>
      <c r="B104" s="54">
        <f>SUM(B88:B103)</f>
        <v>162498.49802029657</v>
      </c>
      <c r="C104" s="54">
        <f t="shared" ref="C104:N104" si="21">SUM(C88:C103)</f>
        <v>210569.118458018</v>
      </c>
      <c r="D104" s="54">
        <f t="shared" si="21"/>
        <v>210719.3124338265</v>
      </c>
      <c r="E104" s="54">
        <f t="shared" si="21"/>
        <v>180736.79740362993</v>
      </c>
      <c r="F104" s="54">
        <f t="shared" si="21"/>
        <v>229276.02464135128</v>
      </c>
      <c r="G104" s="54">
        <f t="shared" si="21"/>
        <v>228656.07541715979</v>
      </c>
      <c r="H104" s="54">
        <f t="shared" si="21"/>
        <v>196554.11378696325</v>
      </c>
      <c r="I104" s="54">
        <f t="shared" si="21"/>
        <v>240039.59102468466</v>
      </c>
      <c r="J104" s="54">
        <f t="shared" si="21"/>
        <v>240447.14180049318</v>
      </c>
      <c r="K104" s="54">
        <f t="shared" si="21"/>
        <v>207045.68907029659</v>
      </c>
      <c r="L104" s="54">
        <f t="shared" si="21"/>
        <v>245280.8418746847</v>
      </c>
      <c r="M104" s="54">
        <f t="shared" si="21"/>
        <v>254578.48488382649</v>
      </c>
      <c r="N104" s="54">
        <f t="shared" si="21"/>
        <v>2606401.688815231</v>
      </c>
      <c r="O104" s="62"/>
    </row>
    <row r="105" spans="1:19" ht="24.5" customHeight="1">
      <c r="A105" s="56" t="s">
        <v>171</v>
      </c>
      <c r="B105" s="54">
        <f t="shared" ref="B105:N105" si="22">B84-B104</f>
        <v>38277.401979703427</v>
      </c>
      <c r="C105" s="54">
        <f t="shared" si="22"/>
        <v>7423.8315419820137</v>
      </c>
      <c r="D105" s="54">
        <f t="shared" si="22"/>
        <v>25740.687566173496</v>
      </c>
      <c r="E105" s="54">
        <f t="shared" si="22"/>
        <v>73899.652596370084</v>
      </c>
      <c r="F105" s="54">
        <f t="shared" si="22"/>
        <v>31996.275358648709</v>
      </c>
      <c r="G105" s="54">
        <f t="shared" si="22"/>
        <v>39252.074582840229</v>
      </c>
      <c r="H105" s="54">
        <f t="shared" si="22"/>
        <v>80489.886213036749</v>
      </c>
      <c r="I105" s="54">
        <f t="shared" si="22"/>
        <v>52390.258975315315</v>
      </c>
      <c r="J105" s="54">
        <f t="shared" si="22"/>
        <v>61118.558199506835</v>
      </c>
      <c r="K105" s="54">
        <f t="shared" si="22"/>
        <v>110065.76092970342</v>
      </c>
      <c r="L105" s="54">
        <f t="shared" si="22"/>
        <v>78626.35812531531</v>
      </c>
      <c r="M105" s="54">
        <f t="shared" si="22"/>
        <v>76124.465116173524</v>
      </c>
      <c r="N105" s="54">
        <f t="shared" si="22"/>
        <v>675405.21118476987</v>
      </c>
      <c r="O105" s="62"/>
    </row>
    <row r="106" spans="1:19" ht="24.5" customHeight="1">
      <c r="B106" s="57"/>
      <c r="C106" s="57"/>
      <c r="D106" s="57"/>
      <c r="E106" s="57"/>
      <c r="F106" s="57"/>
      <c r="G106" s="57"/>
      <c r="H106" s="57"/>
      <c r="I106" s="57"/>
      <c r="J106" s="57"/>
      <c r="K106" s="57"/>
      <c r="L106" s="57"/>
      <c r="M106" s="57"/>
      <c r="N106" s="57"/>
      <c r="O106" s="60"/>
    </row>
    <row r="107" spans="1:19" ht="24.5" customHeight="1">
      <c r="A107" s="56" t="s">
        <v>172</v>
      </c>
      <c r="B107" s="53">
        <f t="shared" ref="B107:M107" si="23">B79+B105</f>
        <v>200281.24820281085</v>
      </c>
      <c r="C107" s="53">
        <f t="shared" si="23"/>
        <v>207705.07974479286</v>
      </c>
      <c r="D107" s="53">
        <f t="shared" si="23"/>
        <v>233445.76731096636</v>
      </c>
      <c r="E107" s="53">
        <f t="shared" si="23"/>
        <v>307345.41990733647</v>
      </c>
      <c r="F107" s="53">
        <f t="shared" si="23"/>
        <v>339341.69526598521</v>
      </c>
      <c r="G107" s="53">
        <f t="shared" si="23"/>
        <v>378593.76984882541</v>
      </c>
      <c r="H107" s="53">
        <f t="shared" si="23"/>
        <v>459083.65606186213</v>
      </c>
      <c r="I107" s="53">
        <f t="shared" si="23"/>
        <v>511473.91503717744</v>
      </c>
      <c r="J107" s="53">
        <f t="shared" si="23"/>
        <v>572592.47323668422</v>
      </c>
      <c r="K107" s="53">
        <f t="shared" si="23"/>
        <v>682658.2341663877</v>
      </c>
      <c r="L107" s="53">
        <f t="shared" si="23"/>
        <v>761284.59229170298</v>
      </c>
      <c r="M107" s="53">
        <f t="shared" si="23"/>
        <v>837409.05740787648</v>
      </c>
      <c r="N107" s="53"/>
      <c r="O107" s="62"/>
    </row>
    <row r="110" spans="1:19" s="13" customFormat="1" ht="30" customHeight="1">
      <c r="B110" s="133" t="s">
        <v>270</v>
      </c>
      <c r="C110" s="133"/>
      <c r="D110" s="133"/>
    </row>
    <row r="111" spans="1:19" s="13" customFormat="1" ht="15"/>
    <row r="112" spans="1:19" s="74" customFormat="1" ht="15"/>
    <row r="113" spans="1:11" s="75" customFormat="1" ht="15">
      <c r="A113" s="75" t="s">
        <v>197</v>
      </c>
      <c r="B113" s="76">
        <v>1</v>
      </c>
      <c r="C113" s="76">
        <v>2</v>
      </c>
      <c r="D113" s="76">
        <v>3</v>
      </c>
      <c r="E113" s="76">
        <v>4</v>
      </c>
      <c r="F113" s="76">
        <v>5</v>
      </c>
      <c r="G113" s="76">
        <v>6</v>
      </c>
      <c r="H113" s="76">
        <v>7</v>
      </c>
      <c r="I113" s="76">
        <v>8</v>
      </c>
      <c r="J113" s="76">
        <v>9</v>
      </c>
      <c r="K113" s="76"/>
    </row>
    <row r="114" spans="1:11" s="75" customFormat="1" ht="15">
      <c r="A114" s="75" t="s">
        <v>196</v>
      </c>
      <c r="B114" s="76" t="s">
        <v>195</v>
      </c>
      <c r="C114" s="76" t="s">
        <v>17</v>
      </c>
      <c r="D114" s="76" t="s">
        <v>31</v>
      </c>
      <c r="E114" s="76" t="s">
        <v>49</v>
      </c>
      <c r="F114" s="76" t="s">
        <v>80</v>
      </c>
      <c r="G114" s="76" t="s">
        <v>271</v>
      </c>
      <c r="H114" s="76" t="s">
        <v>272</v>
      </c>
      <c r="I114" s="76" t="s">
        <v>110</v>
      </c>
      <c r="J114" s="76" t="s">
        <v>273</v>
      </c>
      <c r="K114" s="76"/>
    </row>
    <row r="115" spans="1:11" s="75" customFormat="1" ht="15">
      <c r="A115" s="75" t="s">
        <v>238</v>
      </c>
      <c r="B115" s="85"/>
      <c r="C115" s="85"/>
      <c r="D115" s="85"/>
      <c r="E115" s="85"/>
      <c r="F115" s="85"/>
      <c r="G115" s="85"/>
      <c r="H115" s="85"/>
    </row>
    <row r="116" spans="1:11" s="75" customFormat="1" ht="15"/>
  </sheetData>
  <mergeCells count="8">
    <mergeCell ref="H3:J3"/>
    <mergeCell ref="B110:D110"/>
    <mergeCell ref="A4:A5"/>
    <mergeCell ref="N4:N5"/>
    <mergeCell ref="A40:A41"/>
    <mergeCell ref="N40:N41"/>
    <mergeCell ref="A76:A77"/>
    <mergeCell ref="N76:N77"/>
  </mergeCells>
  <conditionalFormatting sqref="Q28">
    <cfRule type="cellIs" dxfId="2" priority="3" operator="equal">
      <formula>0.15</formula>
    </cfRule>
  </conditionalFormatting>
  <conditionalFormatting sqref="Q64">
    <cfRule type="cellIs" dxfId="1" priority="2" operator="equal">
      <formula>0.15</formula>
    </cfRule>
  </conditionalFormatting>
  <conditionalFormatting sqref="Q100">
    <cfRule type="cellIs" dxfId="0" priority="1" operator="equal">
      <formula>0.15</formula>
    </cfRule>
  </conditionalFormatting>
  <dataValidations disablePrompts="1" count="1">
    <dataValidation type="list" allowBlank="1" showInputMessage="1" showErrorMessage="1" sqref="O28 O64 O100" xr:uid="{11F77847-5A1F-40FD-A071-B1062F462283}">
      <formula1>"Kapitalgesellschaft,Personengesellschaft"</formula1>
    </dataValidation>
  </dataValidations>
  <hyperlinks>
    <hyperlink ref="B110:D110" location="Finanzierung!A1" display="-&gt; Zur Finanzierungsplanung" xr:uid="{1DBA9C08-6068-4F4A-A660-04DBB33F6706}"/>
  </hyperlinks>
  <pageMargins left="0.7" right="0.7" top="0.78740157499999996" bottom="0.78740157499999996"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595B-9AC0-4B88-A3DC-F7E21021EB75}">
  <sheetPr>
    <tabColor rgb="FF00B050"/>
  </sheetPr>
  <dimension ref="B1:AL70"/>
  <sheetViews>
    <sheetView showGridLines="0" zoomScaleNormal="100" workbookViewId="0">
      <selection activeCell="F7" sqref="F7"/>
    </sheetView>
  </sheetViews>
  <sheetFormatPr baseColWidth="10" defaultColWidth="11.1640625" defaultRowHeight="15"/>
  <cols>
    <col min="1" max="1" width="3" style="13" customWidth="1"/>
    <col min="2" max="2" width="26.33203125" style="13" customWidth="1"/>
    <col min="3" max="10" width="11.1640625" style="13" bestFit="1" customWidth="1"/>
    <col min="11" max="11" width="12.33203125" style="13" bestFit="1" customWidth="1"/>
    <col min="12" max="12" width="11.1640625" style="13" bestFit="1" customWidth="1"/>
    <col min="13" max="13" width="12" style="13" bestFit="1" customWidth="1"/>
    <col min="14" max="14" width="11.6640625" style="13" bestFit="1" customWidth="1"/>
    <col min="15" max="22" width="11.1640625" style="13" bestFit="1" customWidth="1"/>
    <col min="23" max="23" width="12.33203125" style="13" bestFit="1" customWidth="1"/>
    <col min="24" max="24" width="11.1640625" style="13" bestFit="1" customWidth="1"/>
    <col min="25" max="25" width="12" style="13" bestFit="1" customWidth="1"/>
    <col min="26" max="26" width="11.6640625" style="13" bestFit="1" customWidth="1"/>
    <col min="27" max="34" width="11.1640625" style="13" bestFit="1" customWidth="1"/>
    <col min="35" max="35" width="12.33203125" style="13" bestFit="1" customWidth="1"/>
    <col min="36" max="36" width="11.1640625" style="13" bestFit="1" customWidth="1"/>
    <col min="37" max="37" width="12" style="13" bestFit="1" customWidth="1"/>
    <col min="38" max="38" width="11.6640625" style="13" bestFit="1" customWidth="1"/>
    <col min="39" max="16384" width="11.1640625" style="13"/>
  </cols>
  <sheetData>
    <row r="1" spans="2:12" s="74" customFormat="1"/>
    <row r="2" spans="2:12" s="75" customFormat="1">
      <c r="B2" s="75" t="s">
        <v>197</v>
      </c>
      <c r="C2" s="76">
        <v>1</v>
      </c>
      <c r="D2" s="76">
        <v>2</v>
      </c>
      <c r="E2" s="76">
        <v>3</v>
      </c>
      <c r="F2" s="76">
        <v>4</v>
      </c>
      <c r="G2" s="76">
        <v>5</v>
      </c>
      <c r="H2" s="76">
        <v>6</v>
      </c>
      <c r="I2" s="76">
        <v>7</v>
      </c>
      <c r="J2" s="76">
        <v>8</v>
      </c>
      <c r="K2" s="76">
        <v>9</v>
      </c>
      <c r="L2" s="76"/>
    </row>
    <row r="3" spans="2:12" s="75" customFormat="1">
      <c r="B3" s="75" t="s">
        <v>196</v>
      </c>
      <c r="C3" s="76" t="s">
        <v>195</v>
      </c>
      <c r="D3" s="76" t="s">
        <v>17</v>
      </c>
      <c r="E3" s="76" t="s">
        <v>31</v>
      </c>
      <c r="F3" s="76" t="s">
        <v>49</v>
      </c>
      <c r="G3" s="76" t="s">
        <v>80</v>
      </c>
      <c r="H3" s="76" t="s">
        <v>271</v>
      </c>
      <c r="I3" s="76" t="s">
        <v>272</v>
      </c>
      <c r="J3" s="76" t="s">
        <v>110</v>
      </c>
      <c r="K3" s="76" t="s">
        <v>273</v>
      </c>
      <c r="L3" s="76"/>
    </row>
    <row r="4" spans="2:12" s="75" customFormat="1">
      <c r="B4" s="75" t="s">
        <v>238</v>
      </c>
      <c r="C4" s="85"/>
      <c r="D4" s="85"/>
      <c r="E4" s="85"/>
      <c r="F4" s="85"/>
      <c r="G4" s="85"/>
      <c r="H4" s="85"/>
      <c r="I4" s="85"/>
      <c r="J4" s="85"/>
      <c r="K4" s="85"/>
    </row>
    <row r="5" spans="2:12" s="75" customFormat="1"/>
    <row r="7" spans="2:12" ht="28">
      <c r="B7" s="1" t="s">
        <v>183</v>
      </c>
    </row>
    <row r="9" spans="2:12">
      <c r="B9" s="13" t="s">
        <v>278</v>
      </c>
      <c r="C9" s="13" t="s">
        <v>321</v>
      </c>
    </row>
    <row r="10" spans="2:12">
      <c r="C10" s="13" t="s">
        <v>322</v>
      </c>
    </row>
    <row r="14" spans="2:12">
      <c r="C14" s="107"/>
      <c r="D14" s="107"/>
    </row>
    <row r="15" spans="2:12">
      <c r="D15" s="108"/>
    </row>
    <row r="16" spans="2:12">
      <c r="D16" s="107"/>
    </row>
    <row r="69" spans="2:38" ht="16">
      <c r="C69" s="130">
        <f>Liquiditätsplan!B5</f>
        <v>45658</v>
      </c>
      <c r="D69" s="130">
        <f>Liquiditätsplan!C5</f>
        <v>45689</v>
      </c>
      <c r="E69" s="130">
        <f>Liquiditätsplan!D5</f>
        <v>45717</v>
      </c>
      <c r="F69" s="130">
        <f>Liquiditätsplan!E5</f>
        <v>45748</v>
      </c>
      <c r="G69" s="130">
        <f>Liquiditätsplan!F5</f>
        <v>45778</v>
      </c>
      <c r="H69" s="130">
        <f>Liquiditätsplan!G5</f>
        <v>45809</v>
      </c>
      <c r="I69" s="130">
        <f>Liquiditätsplan!H5</f>
        <v>45839</v>
      </c>
      <c r="J69" s="130">
        <f>Liquiditätsplan!I5</f>
        <v>45870</v>
      </c>
      <c r="K69" s="130">
        <f>Liquiditätsplan!J5</f>
        <v>45901</v>
      </c>
      <c r="L69" s="130">
        <f>Liquiditätsplan!K5</f>
        <v>45931</v>
      </c>
      <c r="M69" s="130">
        <f>Liquiditätsplan!L5</f>
        <v>45962</v>
      </c>
      <c r="N69" s="130">
        <f>Liquiditätsplan!M5</f>
        <v>45992</v>
      </c>
      <c r="O69" s="130">
        <f>Liquiditätsplan!B41</f>
        <v>46023</v>
      </c>
      <c r="P69" s="130">
        <f>Liquiditätsplan!C41</f>
        <v>46054</v>
      </c>
      <c r="Q69" s="130">
        <f>Liquiditätsplan!D41</f>
        <v>46082</v>
      </c>
      <c r="R69" s="130">
        <f>Liquiditätsplan!E41</f>
        <v>46113</v>
      </c>
      <c r="S69" s="130">
        <f>Liquiditätsplan!F41</f>
        <v>46143</v>
      </c>
      <c r="T69" s="130">
        <f>Liquiditätsplan!G41</f>
        <v>46174</v>
      </c>
      <c r="U69" s="130">
        <f>Liquiditätsplan!H41</f>
        <v>46204</v>
      </c>
      <c r="V69" s="130">
        <f>Liquiditätsplan!I41</f>
        <v>46235</v>
      </c>
      <c r="W69" s="130">
        <f>Liquiditätsplan!J41</f>
        <v>46266</v>
      </c>
      <c r="X69" s="130">
        <f>Liquiditätsplan!K41</f>
        <v>46296</v>
      </c>
      <c r="Y69" s="130">
        <f>Liquiditätsplan!L41</f>
        <v>46327</v>
      </c>
      <c r="Z69" s="130">
        <f>Liquiditätsplan!M41</f>
        <v>46357</v>
      </c>
      <c r="AA69" s="130">
        <f>Liquiditätsplan!B77</f>
        <v>46388</v>
      </c>
      <c r="AB69" s="130">
        <f>Liquiditätsplan!C77</f>
        <v>46419</v>
      </c>
      <c r="AC69" s="130">
        <f>Liquiditätsplan!D77</f>
        <v>46447</v>
      </c>
      <c r="AD69" s="130">
        <f>Liquiditätsplan!E77</f>
        <v>46478</v>
      </c>
      <c r="AE69" s="130">
        <f>Liquiditätsplan!F77</f>
        <v>46508</v>
      </c>
      <c r="AF69" s="130">
        <f>Liquiditätsplan!G77</f>
        <v>46539</v>
      </c>
      <c r="AG69" s="130">
        <f>Liquiditätsplan!H77</f>
        <v>46569</v>
      </c>
      <c r="AH69" s="130">
        <f>Liquiditätsplan!I77</f>
        <v>46600</v>
      </c>
      <c r="AI69" s="130">
        <f>Liquiditätsplan!J77</f>
        <v>46631</v>
      </c>
      <c r="AJ69" s="130">
        <f>Liquiditätsplan!K77</f>
        <v>46661</v>
      </c>
      <c r="AK69" s="130">
        <f>Liquiditätsplan!L77</f>
        <v>46692</v>
      </c>
      <c r="AL69" s="130">
        <f>Liquiditätsplan!M77</f>
        <v>46722</v>
      </c>
    </row>
    <row r="70" spans="2:38">
      <c r="B70" s="13" t="s">
        <v>173</v>
      </c>
      <c r="C70" s="131">
        <f>Liquiditätsplan!B35</f>
        <v>326119.58333333331</v>
      </c>
      <c r="D70" s="131">
        <f>Liquiditätsplan!C35</f>
        <v>289054.58333333331</v>
      </c>
      <c r="E70" s="131">
        <f>Liquiditätsplan!D35</f>
        <v>263143.33333333331</v>
      </c>
      <c r="F70" s="131">
        <f>Liquiditätsplan!E35</f>
        <v>238820.99384999997</v>
      </c>
      <c r="G70" s="131">
        <f>Liquiditätsplan!F35</f>
        <v>214615.99481666664</v>
      </c>
      <c r="H70" s="131">
        <f>Liquiditätsplan!G35</f>
        <v>191628.33623333331</v>
      </c>
      <c r="I70" s="131">
        <f>Liquiditätsplan!H35</f>
        <v>164858.01809999996</v>
      </c>
      <c r="J70" s="131">
        <f>Liquiditätsplan!I35</f>
        <v>144286.2904166666</v>
      </c>
      <c r="K70" s="131">
        <f>Liquiditätsplan!J35</f>
        <v>124931.90318333326</v>
      </c>
      <c r="L70" s="131">
        <f>Liquiditätsplan!K35</f>
        <v>112976.1063999999</v>
      </c>
      <c r="M70" s="131">
        <f>Liquiditätsplan!L35</f>
        <v>100158.00281666656</v>
      </c>
      <c r="N70" s="131">
        <f>Liquiditätsplan!M35</f>
        <v>88877.592433333208</v>
      </c>
      <c r="O70" s="131">
        <f>Liquiditätsplan!B71</f>
        <v>52136.995463036626</v>
      </c>
      <c r="P70" s="131">
        <f>Liquiditätsplan!C71</f>
        <v>36396.591692740025</v>
      </c>
      <c r="Q70" s="131">
        <f>Liquiditätsplan!D71</f>
        <v>35792.631122443432</v>
      </c>
      <c r="R70" s="131">
        <f>Liquiditätsplan!E71</f>
        <v>44545.14595214685</v>
      </c>
      <c r="S70" s="131">
        <f>Liquiditätsplan!F71</f>
        <v>44674.649448516939</v>
      </c>
      <c r="T70" s="131">
        <f>Liquiditätsplan!G71</f>
        <v>49866.974944886999</v>
      </c>
      <c r="U70" s="131">
        <f>Liquiditätsplan!H71</f>
        <v>58839.622441257074</v>
      </c>
      <c r="V70" s="131">
        <f>Liquiditätsplan!I71</f>
        <v>65845.508604293791</v>
      </c>
      <c r="W70" s="131">
        <f>Liquiditätsplan!J71</f>
        <v>85331.716767330523</v>
      </c>
      <c r="X70" s="131">
        <f>Liquiditätsplan!K71</f>
        <v>111802.70243036725</v>
      </c>
      <c r="Y70" s="131">
        <f>Liquiditätsplan!L71</f>
        <v>139205.35669340403</v>
      </c>
      <c r="Z70" s="131">
        <f>Liquiditätsplan!M71</f>
        <v>162003.84622310742</v>
      </c>
      <c r="AA70" s="131">
        <f>Liquiditätsplan!B107</f>
        <v>200281.24820281085</v>
      </c>
      <c r="AB70" s="131">
        <f>Liquiditätsplan!C107</f>
        <v>207705.07974479286</v>
      </c>
      <c r="AC70" s="131">
        <f>Liquiditätsplan!D107</f>
        <v>233445.76731096636</v>
      </c>
      <c r="AD70" s="131">
        <f>Liquiditätsplan!E107</f>
        <v>307345.41990733647</v>
      </c>
      <c r="AE70" s="131">
        <f>Liquiditätsplan!F107</f>
        <v>339341.69526598521</v>
      </c>
      <c r="AF70" s="131">
        <f>Liquiditätsplan!G107</f>
        <v>378593.76984882541</v>
      </c>
      <c r="AG70" s="131">
        <f>Liquiditätsplan!H107</f>
        <v>459083.65606186213</v>
      </c>
      <c r="AH70" s="131">
        <f>Liquiditätsplan!I107</f>
        <v>511473.91503717744</v>
      </c>
      <c r="AI70" s="131">
        <f>Liquiditätsplan!J107</f>
        <v>572592.47323668422</v>
      </c>
      <c r="AJ70" s="131">
        <f>Liquiditätsplan!K107</f>
        <v>682658.2341663877</v>
      </c>
      <c r="AK70" s="131">
        <f>Liquiditätsplan!L107</f>
        <v>761284.59229170298</v>
      </c>
      <c r="AL70" s="131">
        <f>Liquiditätsplan!M107</f>
        <v>837409.05740787648</v>
      </c>
    </row>
  </sheetData>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e92d1b5-ac96-4559-aa4b-2c384d795fce" xsi:nil="true"/>
    <lcf76f155ced4ddcb4097134ff3c332f xmlns="e0a77d30-e1d0-4bbe-a7ff-050e746b6f6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F3747E7C285054B91A94B42EFF5DDD7" ma:contentTypeVersion="12" ma:contentTypeDescription="Ein neues Dokument erstellen." ma:contentTypeScope="" ma:versionID="94a40c3ca8ec17e8dd7d5f74f611f46b">
  <xsd:schema xmlns:xsd="http://www.w3.org/2001/XMLSchema" xmlns:xs="http://www.w3.org/2001/XMLSchema" xmlns:p="http://schemas.microsoft.com/office/2006/metadata/properties" xmlns:ns2="e0a77d30-e1d0-4bbe-a7ff-050e746b6f60" xmlns:ns3="4e92d1b5-ac96-4559-aa4b-2c384d795fce" targetNamespace="http://schemas.microsoft.com/office/2006/metadata/properties" ma:root="true" ma:fieldsID="6196aaf827cb2a8554348947a210a02b" ns2:_="" ns3:_="">
    <xsd:import namespace="e0a77d30-e1d0-4bbe-a7ff-050e746b6f60"/>
    <xsd:import namespace="4e92d1b5-ac96-4559-aa4b-2c384d795f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a77d30-e1d0-4bbe-a7ff-050e746b6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b2d93e02-483a-4642-b66a-93e1c502acb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92d1b5-ac96-4559-aa4b-2c384d795fc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0da694-8fd8-4aab-b4dd-513ddfef5ab7}" ma:internalName="TaxCatchAll" ma:showField="CatchAllData" ma:web="4e92d1b5-ac96-4559-aa4b-2c384d795f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5DA522-0889-47C5-A819-E19D4E2C298E}">
  <ds:schemaRefs>
    <ds:schemaRef ds:uri="http://schemas.microsoft.com/office/2006/metadata/properties"/>
    <ds:schemaRef ds:uri="http://purl.org/dc/dcmitype/"/>
    <ds:schemaRef ds:uri="http://schemas.openxmlformats.org/package/2006/metadata/core-properties"/>
    <ds:schemaRef ds:uri="http://schemas.microsoft.com/office/infopath/2007/PartnerControls"/>
    <ds:schemaRef ds:uri="4e92d1b5-ac96-4559-aa4b-2c384d795fce"/>
    <ds:schemaRef ds:uri="http://purl.org/dc/elements/1.1/"/>
    <ds:schemaRef ds:uri="http://schemas.microsoft.com/office/2006/documentManagement/types"/>
    <ds:schemaRef ds:uri="http://purl.org/dc/terms/"/>
    <ds:schemaRef ds:uri="e0a77d30-e1d0-4bbe-a7ff-050e746b6f60"/>
    <ds:schemaRef ds:uri="http://www.w3.org/XML/1998/namespace"/>
  </ds:schemaRefs>
</ds:datastoreItem>
</file>

<file path=customXml/itemProps2.xml><?xml version="1.0" encoding="utf-8"?>
<ds:datastoreItem xmlns:ds="http://schemas.openxmlformats.org/officeDocument/2006/customXml" ds:itemID="{552DE0CF-3209-4C80-B018-7FB2A00A63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a77d30-e1d0-4bbe-a7ff-050e746b6f60"/>
    <ds:schemaRef ds:uri="4e92d1b5-ac96-4559-aa4b-2c384d795f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B47E09-9E5E-457C-AB08-49D486018E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12</vt:i4>
      </vt:variant>
      <vt:variant>
        <vt:lpstr>Benannte Bereiche</vt:lpstr>
      </vt:variant>
      <vt:variant>
        <vt:i4>3</vt:i4>
      </vt:variant>
    </vt:vector>
  </HeadingPairs>
  <TitlesOfParts>
    <vt:vector size="15" baseType="lpstr">
      <vt:lpstr>Cover</vt:lpstr>
      <vt:lpstr>Annahmen-&gt;</vt:lpstr>
      <vt:lpstr>Umsatz | COGS</vt:lpstr>
      <vt:lpstr>HR</vt:lpstr>
      <vt:lpstr>OPEX</vt:lpstr>
      <vt:lpstr>CAPEX</vt:lpstr>
      <vt:lpstr>Finanzierung</vt:lpstr>
      <vt:lpstr>Output-&gt;</vt:lpstr>
      <vt:lpstr>Rentabilitätsplanung</vt:lpstr>
      <vt:lpstr>Umsatz- und Ertragsvorschau</vt:lpstr>
      <vt:lpstr>Liquiditätsplan</vt:lpstr>
      <vt:lpstr>Grafiken</vt:lpstr>
      <vt:lpstr>Cover!Druckbereich</vt:lpstr>
      <vt:lpstr>Liquiditätsplan!Druckbereich</vt:lpstr>
      <vt:lpstr>Rentabilitätsplanung!Druckbereich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Ellmann</dc:creator>
  <cp:lastModifiedBy>Lukas Ellmann</cp:lastModifiedBy>
  <cp:lastPrinted>2024-11-22T09:43:30Z</cp:lastPrinted>
  <dcterms:created xsi:type="dcterms:W3CDTF">2024-10-09T08:10:13Z</dcterms:created>
  <dcterms:modified xsi:type="dcterms:W3CDTF">2026-09-23T11:35:27Z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0x0101008F3747E7C285054B91A94B42EFF5DDD7</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