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mc:AlternateContent xmlns:mc="http://schemas.openxmlformats.org/markup-compatibility/2006">
    <mc:Choice Requires="x15">
      <x15ac:absPath xmlns:x15ac="http://schemas.microsoft.com/office/spreadsheetml/2010/11/ac" url="/Users/rubenrodriguez/Downloads/"/>
    </mc:Choice>
  </mc:AlternateContent>
  <xr:revisionPtr revIDLastSave="0" documentId="8_{27A4464C-5B8E-4538-A89B-DEDA56C15E76}" xr6:coauthVersionLast="47" xr6:coauthVersionMax="47" xr10:uidLastSave="{00000000-0000-0000-0000-000000000000}"/>
  <workbookProtection lockStructure="1"/>
  <bookViews>
    <workbookView xWindow="0" yWindow="580" windowWidth="25600" windowHeight="14980" xr2:uid="{00000000-000D-0000-FFFF-FFFF00000000}"/>
  </bookViews>
  <sheets>
    <sheet name="Resumen" sheetId="1" r:id="rId1"/>
    <sheet name="01 Alcohol adultos" sheetId="2" r:id="rId2"/>
    <sheet name="02 Alcohol jóvenes" sheetId="3" r:id="rId3"/>
    <sheet name="03 Velocidad y agresividad" sheetId="4" r:id="rId4"/>
    <sheet name="04 Protección al ocupante" sheetId="5" r:id="rId5"/>
    <sheet name="05 No motorizados" sheetId="6" r:id="rId6"/>
    <sheet name="06 Motocicletas" sheetId="7" r:id="rId7"/>
    <sheet name="07 Distracción" sheetId="8" r:id="rId8"/>
    <sheet name="08 PESET" sheetId="9" r:id="rId9"/>
    <sheet name="09 Drogas y conducción" sheetId="10" r:id="rId10"/>
    <sheet name="AGA y criterios" sheetId="11" state="hidden" r:id="rId11"/>
    <sheet name="Tarifas" sheetId="12" r:id="rId12"/>
    <sheet name="Base de distribución" sheetId="13" state="hidden"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5" i="10" l="1"/>
  <c r="E25" i="10"/>
  <c r="H25" i="10" s="1"/>
  <c r="I25" i="10" s="1"/>
  <c r="F25" i="10"/>
  <c r="D25" i="9"/>
  <c r="E25" i="9"/>
  <c r="H25" i="9" s="1"/>
  <c r="I25" i="9" s="1"/>
  <c r="F25" i="9"/>
  <c r="D25" i="8"/>
  <c r="E25" i="8"/>
  <c r="F25" i="8"/>
  <c r="H25" i="8"/>
  <c r="I25" i="8"/>
  <c r="D25" i="7"/>
  <c r="E25" i="7"/>
  <c r="I25" i="7" s="1"/>
  <c r="J25" i="7" s="1"/>
  <c r="F25" i="7"/>
  <c r="G25" i="7"/>
  <c r="D25" i="5"/>
  <c r="E25" i="5"/>
  <c r="I25" i="5" s="1"/>
  <c r="J25" i="5" s="1"/>
  <c r="F25" i="5"/>
  <c r="G25" i="5"/>
  <c r="D25" i="4"/>
  <c r="D25" i="3"/>
  <c r="E25" i="3"/>
  <c r="F25" i="3"/>
  <c r="G25" i="3"/>
  <c r="D25" i="2"/>
  <c r="F25" i="2"/>
  <c r="G25" i="2"/>
  <c r="H25" i="2"/>
  <c r="I25" i="2"/>
  <c r="I74" i="2" s="1"/>
  <c r="J25" i="2"/>
  <c r="J74" i="2" s="1"/>
  <c r="H18" i="11"/>
  <c r="G18" i="11"/>
  <c r="F18" i="11"/>
  <c r="E18" i="11"/>
  <c r="D18" i="11"/>
  <c r="I17" i="11"/>
  <c r="J17" i="11" s="1"/>
  <c r="I16" i="11"/>
  <c r="J16" i="11" s="1"/>
  <c r="J15" i="11"/>
  <c r="I15" i="11"/>
  <c r="I14" i="11"/>
  <c r="J14" i="11" s="1"/>
  <c r="I13" i="11"/>
  <c r="I18" i="11" s="1"/>
  <c r="J12" i="11"/>
  <c r="I12" i="11"/>
  <c r="J11" i="11"/>
  <c r="I11" i="11"/>
  <c r="J10" i="11"/>
  <c r="I10" i="11"/>
  <c r="J9" i="11"/>
  <c r="I9" i="11"/>
  <c r="D78" i="10"/>
  <c r="C78" i="10"/>
  <c r="B78" i="10"/>
  <c r="D75" i="10"/>
  <c r="C75" i="10"/>
  <c r="B75" i="10"/>
  <c r="D72" i="10"/>
  <c r="C72" i="10"/>
  <c r="B72" i="10"/>
  <c r="D69" i="10"/>
  <c r="C69" i="10"/>
  <c r="B69" i="10"/>
  <c r="D68" i="10"/>
  <c r="B68" i="10"/>
  <c r="D67" i="10"/>
  <c r="B67" i="10"/>
  <c r="D66" i="10"/>
  <c r="C66" i="10"/>
  <c r="B66" i="10"/>
  <c r="D65" i="10"/>
  <c r="C65" i="10"/>
  <c r="B65" i="10"/>
  <c r="D64" i="10"/>
  <c r="C64" i="10"/>
  <c r="B64" i="10"/>
  <c r="D63" i="10"/>
  <c r="C63" i="10"/>
  <c r="B63" i="10"/>
  <c r="D62" i="10"/>
  <c r="C62" i="10"/>
  <c r="B62" i="10"/>
  <c r="D61" i="10"/>
  <c r="C61" i="10"/>
  <c r="B61" i="10"/>
  <c r="D60" i="10"/>
  <c r="C60" i="10"/>
  <c r="B60" i="10"/>
  <c r="D59" i="10"/>
  <c r="C59" i="10"/>
  <c r="B59" i="10"/>
  <c r="D58" i="10"/>
  <c r="C58" i="10"/>
  <c r="B58" i="10"/>
  <c r="D57" i="10"/>
  <c r="C57" i="10"/>
  <c r="B57" i="10"/>
  <c r="D56" i="10"/>
  <c r="C56" i="10"/>
  <c r="B56" i="10"/>
  <c r="D55" i="10"/>
  <c r="C55" i="10"/>
  <c r="B55" i="10"/>
  <c r="D54" i="10"/>
  <c r="C54" i="10"/>
  <c r="B54" i="10"/>
  <c r="D53" i="10"/>
  <c r="C53" i="10"/>
  <c r="B53" i="10"/>
  <c r="D52" i="10"/>
  <c r="C52" i="10"/>
  <c r="B52" i="10"/>
  <c r="E49" i="10"/>
  <c r="D49" i="10"/>
  <c r="C49" i="10"/>
  <c r="B49" i="10"/>
  <c r="D48" i="10"/>
  <c r="C48" i="10"/>
  <c r="B48" i="10"/>
  <c r="D47" i="10"/>
  <c r="C47" i="10"/>
  <c r="B47" i="10"/>
  <c r="D46" i="10"/>
  <c r="C46" i="10"/>
  <c r="B46" i="10"/>
  <c r="D45" i="10"/>
  <c r="C45" i="10"/>
  <c r="B45" i="10"/>
  <c r="D44" i="10"/>
  <c r="C44" i="10"/>
  <c r="B44" i="10"/>
  <c r="D27" i="10"/>
  <c r="F26" i="10"/>
  <c r="F75" i="10" s="1"/>
  <c r="D26" i="10"/>
  <c r="F72" i="10"/>
  <c r="E72" i="10"/>
  <c r="F24" i="10"/>
  <c r="D24" i="10"/>
  <c r="F64" i="10" s="1"/>
  <c r="E23" i="10"/>
  <c r="D23" i="10"/>
  <c r="E45" i="10" s="1"/>
  <c r="C20" i="10"/>
  <c r="E26" i="10" s="1"/>
  <c r="K12" i="10"/>
  <c r="I12" i="10"/>
  <c r="F12" i="10"/>
  <c r="C11" i="10"/>
  <c r="M6" i="10"/>
  <c r="C6" i="10"/>
  <c r="D61" i="9"/>
  <c r="C61" i="9"/>
  <c r="B61" i="9"/>
  <c r="D58" i="9"/>
  <c r="C58" i="9"/>
  <c r="B58" i="9"/>
  <c r="D55" i="9"/>
  <c r="C55" i="9"/>
  <c r="B55" i="9"/>
  <c r="D52" i="9"/>
  <c r="C52" i="9"/>
  <c r="B52" i="9"/>
  <c r="D49" i="9"/>
  <c r="C49" i="9"/>
  <c r="B49" i="9"/>
  <c r="D48" i="9"/>
  <c r="C48" i="9"/>
  <c r="B48" i="9"/>
  <c r="D47" i="9"/>
  <c r="C47" i="9"/>
  <c r="B47" i="9"/>
  <c r="D46" i="9"/>
  <c r="C46" i="9"/>
  <c r="B46" i="9"/>
  <c r="D45" i="9"/>
  <c r="C45" i="9"/>
  <c r="B45" i="9"/>
  <c r="D44" i="9"/>
  <c r="C44" i="9"/>
  <c r="B44" i="9"/>
  <c r="D27" i="9"/>
  <c r="D26" i="9"/>
  <c r="D24" i="9"/>
  <c r="D23" i="9"/>
  <c r="C20" i="9"/>
  <c r="J12" i="9"/>
  <c r="F12" i="9"/>
  <c r="E12" i="9"/>
  <c r="C12" i="9"/>
  <c r="C11" i="9"/>
  <c r="M6" i="9"/>
  <c r="C6" i="9"/>
  <c r="D66" i="8"/>
  <c r="C66" i="8"/>
  <c r="B66" i="8"/>
  <c r="D63" i="8"/>
  <c r="C63" i="8"/>
  <c r="B63" i="8"/>
  <c r="D60" i="8"/>
  <c r="C60" i="8"/>
  <c r="B60" i="8"/>
  <c r="D57" i="8"/>
  <c r="C57" i="8"/>
  <c r="B57" i="8"/>
  <c r="D54" i="8"/>
  <c r="C54" i="8"/>
  <c r="B54" i="8"/>
  <c r="D51" i="8"/>
  <c r="C51" i="8"/>
  <c r="B51" i="8"/>
  <c r="D50" i="8"/>
  <c r="C50" i="8"/>
  <c r="B50" i="8"/>
  <c r="D49" i="8"/>
  <c r="C49" i="8"/>
  <c r="B49" i="8"/>
  <c r="D48" i="8"/>
  <c r="C48" i="8"/>
  <c r="B48" i="8"/>
  <c r="D47" i="8"/>
  <c r="C47" i="8"/>
  <c r="B47" i="8"/>
  <c r="D46" i="8"/>
  <c r="C46" i="8"/>
  <c r="B46" i="8"/>
  <c r="D28" i="8"/>
  <c r="D27" i="8"/>
  <c r="D26" i="8"/>
  <c r="F57" i="8"/>
  <c r="E57" i="8"/>
  <c r="D24" i="8"/>
  <c r="D23" i="8"/>
  <c r="C20" i="8"/>
  <c r="F12" i="8"/>
  <c r="E12" i="8"/>
  <c r="C11" i="8"/>
  <c r="M6" i="8"/>
  <c r="C6" i="8"/>
  <c r="D121" i="7"/>
  <c r="C121" i="7"/>
  <c r="B121" i="7"/>
  <c r="D118" i="7"/>
  <c r="C118" i="7"/>
  <c r="B118" i="7"/>
  <c r="D115" i="7"/>
  <c r="C115" i="7"/>
  <c r="B115" i="7"/>
  <c r="D112" i="7"/>
  <c r="C112" i="7"/>
  <c r="B112" i="7"/>
  <c r="D109" i="7"/>
  <c r="C109" i="7"/>
  <c r="B109" i="7"/>
  <c r="D108" i="7"/>
  <c r="C108" i="7"/>
  <c r="B108" i="7"/>
  <c r="D107" i="7"/>
  <c r="C107" i="7"/>
  <c r="B107" i="7"/>
  <c r="D106" i="7"/>
  <c r="C106" i="7"/>
  <c r="B106" i="7"/>
  <c r="D105" i="7"/>
  <c r="C105" i="7"/>
  <c r="B105" i="7"/>
  <c r="D104" i="7"/>
  <c r="C104" i="7"/>
  <c r="B104" i="7"/>
  <c r="D87" i="7"/>
  <c r="D86" i="7"/>
  <c r="D85" i="7"/>
  <c r="D84" i="7"/>
  <c r="D83" i="7"/>
  <c r="C80" i="7"/>
  <c r="E62" i="7"/>
  <c r="D62" i="7"/>
  <c r="C62" i="7"/>
  <c r="B62" i="7"/>
  <c r="E59" i="7"/>
  <c r="D59" i="7"/>
  <c r="C59" i="7"/>
  <c r="B59" i="7"/>
  <c r="D56" i="7"/>
  <c r="C56" i="7"/>
  <c r="B56" i="7"/>
  <c r="F53" i="7"/>
  <c r="D53" i="7"/>
  <c r="C53" i="7"/>
  <c r="B53" i="7"/>
  <c r="D50" i="7"/>
  <c r="C50" i="7"/>
  <c r="B50" i="7"/>
  <c r="G49" i="7"/>
  <c r="D49" i="7"/>
  <c r="C49" i="7"/>
  <c r="B49" i="7"/>
  <c r="F48" i="7"/>
  <c r="D48" i="7"/>
  <c r="C48" i="7"/>
  <c r="B48" i="7"/>
  <c r="D47" i="7"/>
  <c r="C47" i="7"/>
  <c r="B47" i="7"/>
  <c r="D46" i="7"/>
  <c r="C46" i="7"/>
  <c r="B46" i="7"/>
  <c r="D45" i="7"/>
  <c r="C45" i="7"/>
  <c r="B45" i="7"/>
  <c r="F28" i="7"/>
  <c r="F62" i="7" s="1"/>
  <c r="E28" i="7"/>
  <c r="D28" i="7"/>
  <c r="F27" i="7"/>
  <c r="F59" i="7" s="1"/>
  <c r="E27" i="7"/>
  <c r="D27" i="7"/>
  <c r="G26" i="7"/>
  <c r="G56" i="7" s="1"/>
  <c r="E26" i="7"/>
  <c r="E56" i="7" s="1"/>
  <c r="D26" i="7"/>
  <c r="G53" i="7"/>
  <c r="G24" i="7"/>
  <c r="F24" i="7"/>
  <c r="D24" i="7"/>
  <c r="C21" i="7"/>
  <c r="J13" i="7"/>
  <c r="F13" i="7"/>
  <c r="E13" i="7"/>
  <c r="C13" i="7"/>
  <c r="C12" i="7"/>
  <c r="C11" i="7"/>
  <c r="M6" i="7"/>
  <c r="C6" i="7"/>
  <c r="D301" i="6"/>
  <c r="C301" i="6"/>
  <c r="B301" i="6"/>
  <c r="D298" i="6"/>
  <c r="C298" i="6"/>
  <c r="B298" i="6"/>
  <c r="G295" i="6"/>
  <c r="F295" i="6"/>
  <c r="D295" i="6"/>
  <c r="C295" i="6"/>
  <c r="B295" i="6"/>
  <c r="D292" i="6"/>
  <c r="C292" i="6"/>
  <c r="B292" i="6"/>
  <c r="D289" i="6"/>
  <c r="C289" i="6"/>
  <c r="B289" i="6"/>
  <c r="F288" i="6"/>
  <c r="D288" i="6"/>
  <c r="C288" i="6"/>
  <c r="B288" i="6"/>
  <c r="D287" i="6"/>
  <c r="C287" i="6"/>
  <c r="B287" i="6"/>
  <c r="D286" i="6"/>
  <c r="C286" i="6"/>
  <c r="B286" i="6"/>
  <c r="F285" i="6"/>
  <c r="D285" i="6"/>
  <c r="C285" i="6"/>
  <c r="B285" i="6"/>
  <c r="D284" i="6"/>
  <c r="C284" i="6"/>
  <c r="B284" i="6"/>
  <c r="E267" i="6"/>
  <c r="D267" i="6"/>
  <c r="F266" i="6"/>
  <c r="F298" i="6" s="1"/>
  <c r="D266" i="6"/>
  <c r="G265" i="6"/>
  <c r="E309" i="6" s="1"/>
  <c r="F265" i="6"/>
  <c r="E265" i="6"/>
  <c r="E295" i="6" s="1"/>
  <c r="D265" i="6"/>
  <c r="F264" i="6"/>
  <c r="E264" i="6"/>
  <c r="E292" i="6" s="1"/>
  <c r="D264" i="6"/>
  <c r="H263" i="6"/>
  <c r="E263" i="6"/>
  <c r="D263" i="6"/>
  <c r="C260" i="6"/>
  <c r="F263" i="6" s="1"/>
  <c r="D243" i="6"/>
  <c r="C243" i="6"/>
  <c r="B243" i="6"/>
  <c r="D240" i="6"/>
  <c r="C240" i="6"/>
  <c r="B240" i="6"/>
  <c r="D236" i="6"/>
  <c r="C236" i="6"/>
  <c r="B236" i="6"/>
  <c r="D235" i="6"/>
  <c r="C235" i="6"/>
  <c r="D234" i="6"/>
  <c r="C234" i="6"/>
  <c r="B234" i="6"/>
  <c r="D233" i="6"/>
  <c r="C233" i="6"/>
  <c r="B233" i="6"/>
  <c r="D230" i="6"/>
  <c r="C230" i="6"/>
  <c r="B230" i="6"/>
  <c r="D229" i="6"/>
  <c r="B229" i="6"/>
  <c r="D228" i="6"/>
  <c r="B228" i="6"/>
  <c r="D227" i="6"/>
  <c r="C227" i="6"/>
  <c r="B227" i="6"/>
  <c r="D226" i="6"/>
  <c r="C226" i="6"/>
  <c r="B226" i="6"/>
  <c r="D225" i="6"/>
  <c r="C225" i="6"/>
  <c r="B225" i="6"/>
  <c r="D224" i="6"/>
  <c r="C224" i="6"/>
  <c r="B224" i="6"/>
  <c r="D223" i="6"/>
  <c r="C223" i="6"/>
  <c r="B223" i="6"/>
  <c r="D222" i="6"/>
  <c r="C222" i="6"/>
  <c r="B222" i="6"/>
  <c r="D221" i="6"/>
  <c r="C221" i="6"/>
  <c r="B221" i="6"/>
  <c r="D220" i="6"/>
  <c r="C220" i="6"/>
  <c r="B220" i="6"/>
  <c r="D219" i="6"/>
  <c r="C219" i="6"/>
  <c r="B219" i="6"/>
  <c r="D218" i="6"/>
  <c r="C218" i="6"/>
  <c r="B218" i="6"/>
  <c r="D217" i="6"/>
  <c r="C217" i="6"/>
  <c r="B217" i="6"/>
  <c r="D216" i="6"/>
  <c r="C216" i="6"/>
  <c r="B216" i="6"/>
  <c r="D215" i="6"/>
  <c r="C215" i="6"/>
  <c r="B215" i="6"/>
  <c r="D214" i="6"/>
  <c r="C214" i="6"/>
  <c r="B214" i="6"/>
  <c r="D213" i="6"/>
  <c r="C213" i="6"/>
  <c r="B213" i="6"/>
  <c r="D210" i="6"/>
  <c r="C210" i="6"/>
  <c r="B210" i="6"/>
  <c r="D209" i="6"/>
  <c r="C209" i="6"/>
  <c r="B209" i="6"/>
  <c r="D208" i="6"/>
  <c r="C208" i="6"/>
  <c r="B208" i="6"/>
  <c r="D207" i="6"/>
  <c r="C207" i="6"/>
  <c r="B207" i="6"/>
  <c r="D206" i="6"/>
  <c r="C206" i="6"/>
  <c r="B206" i="6"/>
  <c r="D205" i="6"/>
  <c r="C205" i="6"/>
  <c r="B205" i="6"/>
  <c r="D188" i="6"/>
  <c r="D187" i="6"/>
  <c r="D186" i="6"/>
  <c r="D185" i="6"/>
  <c r="D184" i="6"/>
  <c r="C181" i="6"/>
  <c r="D164" i="6"/>
  <c r="C164" i="6"/>
  <c r="B164" i="6"/>
  <c r="D161" i="6"/>
  <c r="C161" i="6"/>
  <c r="B161" i="6"/>
  <c r="G157" i="6"/>
  <c r="E157" i="6"/>
  <c r="D157" i="6"/>
  <c r="C157" i="6"/>
  <c r="B157" i="6"/>
  <c r="D156" i="6"/>
  <c r="C156" i="6"/>
  <c r="G155" i="6"/>
  <c r="E155" i="6"/>
  <c r="D155" i="6"/>
  <c r="C155" i="6"/>
  <c r="B155" i="6"/>
  <c r="G154" i="6"/>
  <c r="D154" i="6"/>
  <c r="C154" i="6"/>
  <c r="B154" i="6"/>
  <c r="D151" i="6"/>
  <c r="C151" i="6"/>
  <c r="B151" i="6"/>
  <c r="D150" i="6"/>
  <c r="B150" i="6"/>
  <c r="D149" i="6"/>
  <c r="B149" i="6"/>
  <c r="D148" i="6"/>
  <c r="C148" i="6"/>
  <c r="B148" i="6"/>
  <c r="D147" i="6"/>
  <c r="C147" i="6"/>
  <c r="B147" i="6"/>
  <c r="D146" i="6"/>
  <c r="C146" i="6"/>
  <c r="B146" i="6"/>
  <c r="D145" i="6"/>
  <c r="C145" i="6"/>
  <c r="B145" i="6"/>
  <c r="D144" i="6"/>
  <c r="C144" i="6"/>
  <c r="B144" i="6"/>
  <c r="D143" i="6"/>
  <c r="C143" i="6"/>
  <c r="B143" i="6"/>
  <c r="D142" i="6"/>
  <c r="C142" i="6"/>
  <c r="B142" i="6"/>
  <c r="D141" i="6"/>
  <c r="C141" i="6"/>
  <c r="B141" i="6"/>
  <c r="D140" i="6"/>
  <c r="C140" i="6"/>
  <c r="B140" i="6"/>
  <c r="D139" i="6"/>
  <c r="C139" i="6"/>
  <c r="B139" i="6"/>
  <c r="D138" i="6"/>
  <c r="C138" i="6"/>
  <c r="B138" i="6"/>
  <c r="D137" i="6"/>
  <c r="C137" i="6"/>
  <c r="B137" i="6"/>
  <c r="D136" i="6"/>
  <c r="C136" i="6"/>
  <c r="B136" i="6"/>
  <c r="D135" i="6"/>
  <c r="C135" i="6"/>
  <c r="B135" i="6"/>
  <c r="D134" i="6"/>
  <c r="C134" i="6"/>
  <c r="B134" i="6"/>
  <c r="D131" i="6"/>
  <c r="C131" i="6"/>
  <c r="B131" i="6"/>
  <c r="D130" i="6"/>
  <c r="C130" i="6"/>
  <c r="B130" i="6"/>
  <c r="D129" i="6"/>
  <c r="C129" i="6"/>
  <c r="B129" i="6"/>
  <c r="D128" i="6"/>
  <c r="C128" i="6"/>
  <c r="B128" i="6"/>
  <c r="G127" i="6"/>
  <c r="D127" i="6"/>
  <c r="C127" i="6"/>
  <c r="B127" i="6"/>
  <c r="D126" i="6"/>
  <c r="C126" i="6"/>
  <c r="B126" i="6"/>
  <c r="E109" i="6"/>
  <c r="E164" i="6" s="1"/>
  <c r="D109" i="6"/>
  <c r="G108" i="6"/>
  <c r="F108" i="6"/>
  <c r="E108" i="6"/>
  <c r="E161" i="6" s="1"/>
  <c r="D108" i="6"/>
  <c r="G107" i="6"/>
  <c r="G156" i="6" s="1"/>
  <c r="F107" i="6"/>
  <c r="E107" i="6"/>
  <c r="D107" i="6"/>
  <c r="E106" i="6"/>
  <c r="D106" i="6"/>
  <c r="E145" i="6" s="1"/>
  <c r="G105" i="6"/>
  <c r="F105" i="6"/>
  <c r="E105" i="6"/>
  <c r="D105" i="6"/>
  <c r="C102" i="6"/>
  <c r="D85" i="6"/>
  <c r="C85" i="6"/>
  <c r="B85" i="6"/>
  <c r="D82" i="6"/>
  <c r="C82" i="6"/>
  <c r="B82" i="6"/>
  <c r="D78" i="6"/>
  <c r="C78" i="6"/>
  <c r="B78" i="6"/>
  <c r="D77" i="6"/>
  <c r="C77" i="6"/>
  <c r="D76" i="6"/>
  <c r="C76" i="6"/>
  <c r="B76" i="6"/>
  <c r="D75" i="6"/>
  <c r="C75" i="6"/>
  <c r="B75" i="6"/>
  <c r="D72" i="6"/>
  <c r="C72" i="6"/>
  <c r="B72" i="6"/>
  <c r="D71" i="6"/>
  <c r="B71" i="6"/>
  <c r="D70" i="6"/>
  <c r="B70" i="6"/>
  <c r="D69" i="6"/>
  <c r="C69" i="6"/>
  <c r="B69" i="6"/>
  <c r="D68" i="6"/>
  <c r="C68" i="6"/>
  <c r="B68" i="6"/>
  <c r="D67" i="6"/>
  <c r="C67" i="6"/>
  <c r="B67" i="6"/>
  <c r="D66" i="6"/>
  <c r="C66" i="6"/>
  <c r="B66" i="6"/>
  <c r="D65" i="6"/>
  <c r="C65" i="6"/>
  <c r="B65" i="6"/>
  <c r="D64" i="6"/>
  <c r="C64" i="6"/>
  <c r="B64" i="6"/>
  <c r="D63" i="6"/>
  <c r="C63" i="6"/>
  <c r="B63" i="6"/>
  <c r="D62" i="6"/>
  <c r="C62" i="6"/>
  <c r="B62" i="6"/>
  <c r="D61" i="6"/>
  <c r="C61" i="6"/>
  <c r="B61" i="6"/>
  <c r="D60" i="6"/>
  <c r="C60" i="6"/>
  <c r="B60" i="6"/>
  <c r="D59" i="6"/>
  <c r="C59" i="6"/>
  <c r="B59" i="6"/>
  <c r="D58" i="6"/>
  <c r="C58" i="6"/>
  <c r="B58" i="6"/>
  <c r="D57" i="6"/>
  <c r="C57" i="6"/>
  <c r="B57" i="6"/>
  <c r="D56" i="6"/>
  <c r="C56" i="6"/>
  <c r="B56" i="6"/>
  <c r="D55" i="6"/>
  <c r="C55" i="6"/>
  <c r="B55" i="6"/>
  <c r="D52" i="6"/>
  <c r="C52" i="6"/>
  <c r="B52" i="6"/>
  <c r="D51" i="6"/>
  <c r="C51" i="6"/>
  <c r="B51" i="6"/>
  <c r="D50" i="6"/>
  <c r="C50" i="6"/>
  <c r="B50" i="6"/>
  <c r="D49" i="6"/>
  <c r="C49" i="6"/>
  <c r="B49" i="6"/>
  <c r="D48" i="6"/>
  <c r="C48" i="6"/>
  <c r="B48" i="6"/>
  <c r="D47" i="6"/>
  <c r="C47" i="6"/>
  <c r="B47" i="6"/>
  <c r="D30" i="6"/>
  <c r="D29" i="6"/>
  <c r="G28" i="6"/>
  <c r="F28" i="6"/>
  <c r="D28" i="6"/>
  <c r="D27" i="6"/>
  <c r="D26" i="6"/>
  <c r="C23" i="6"/>
  <c r="J15" i="6"/>
  <c r="D14" i="6"/>
  <c r="C14" i="6"/>
  <c r="C13" i="6"/>
  <c r="C12" i="6"/>
  <c r="C11" i="6"/>
  <c r="M6" i="6"/>
  <c r="C6" i="6"/>
  <c r="D191" i="5"/>
  <c r="C191" i="5"/>
  <c r="B191" i="5"/>
  <c r="D188" i="5"/>
  <c r="C188" i="5"/>
  <c r="B188" i="5"/>
  <c r="F185" i="5"/>
  <c r="D185" i="5"/>
  <c r="C185" i="5"/>
  <c r="B185" i="5"/>
  <c r="H182" i="5"/>
  <c r="D182" i="5"/>
  <c r="F182" i="5" s="1"/>
  <c r="C182" i="5"/>
  <c r="B182" i="5"/>
  <c r="D179" i="5"/>
  <c r="C179" i="5"/>
  <c r="B179" i="5"/>
  <c r="E178" i="5"/>
  <c r="D178" i="5"/>
  <c r="C178" i="5"/>
  <c r="B178" i="5"/>
  <c r="F177" i="5"/>
  <c r="D177" i="5"/>
  <c r="C177" i="5"/>
  <c r="B177" i="5"/>
  <c r="F176" i="5"/>
  <c r="D176" i="5"/>
  <c r="C176" i="5"/>
  <c r="B176" i="5"/>
  <c r="F175" i="5"/>
  <c r="D175" i="5"/>
  <c r="C175" i="5"/>
  <c r="B175" i="5"/>
  <c r="D174" i="5"/>
  <c r="C174" i="5"/>
  <c r="B174" i="5"/>
  <c r="E157" i="5"/>
  <c r="E191" i="5" s="1"/>
  <c r="D157" i="5"/>
  <c r="F156" i="5"/>
  <c r="F188" i="5" s="1"/>
  <c r="D156" i="5"/>
  <c r="F155" i="5"/>
  <c r="E155" i="5"/>
  <c r="D155" i="5"/>
  <c r="H154" i="5"/>
  <c r="I154" i="5" s="1"/>
  <c r="F154" i="5"/>
  <c r="E154" i="5"/>
  <c r="D154" i="5"/>
  <c r="F153" i="5"/>
  <c r="E153" i="5"/>
  <c r="D153" i="5"/>
  <c r="C150" i="5"/>
  <c r="E156" i="5" s="1"/>
  <c r="D132" i="5"/>
  <c r="C132" i="5"/>
  <c r="B132" i="5"/>
  <c r="D129" i="5"/>
  <c r="C129" i="5"/>
  <c r="B129" i="5"/>
  <c r="D126" i="5"/>
  <c r="C126" i="5"/>
  <c r="B126" i="5"/>
  <c r="D123" i="5"/>
  <c r="C123" i="5"/>
  <c r="B123" i="5"/>
  <c r="D120" i="5"/>
  <c r="C120" i="5"/>
  <c r="B120" i="5"/>
  <c r="D119" i="5"/>
  <c r="C119" i="5"/>
  <c r="B119" i="5"/>
  <c r="D118" i="5"/>
  <c r="C118" i="5"/>
  <c r="B118" i="5"/>
  <c r="D117" i="5"/>
  <c r="C117" i="5"/>
  <c r="B117" i="5"/>
  <c r="D116" i="5"/>
  <c r="C116" i="5"/>
  <c r="B116" i="5"/>
  <c r="D115" i="5"/>
  <c r="C115" i="5"/>
  <c r="B115" i="5"/>
  <c r="D98" i="5"/>
  <c r="E97" i="5"/>
  <c r="D97" i="5"/>
  <c r="D96" i="5"/>
  <c r="E95" i="5"/>
  <c r="E123" i="5" s="1"/>
  <c r="D95" i="5"/>
  <c r="F94" i="5"/>
  <c r="D94" i="5"/>
  <c r="C91" i="5"/>
  <c r="F97" i="5" s="1"/>
  <c r="F129" i="5" s="1"/>
  <c r="D75" i="5"/>
  <c r="C75" i="5"/>
  <c r="B75" i="5"/>
  <c r="D72" i="5"/>
  <c r="C72" i="5"/>
  <c r="B72" i="5"/>
  <c r="D69" i="5"/>
  <c r="C69" i="5"/>
  <c r="B69" i="5"/>
  <c r="D68" i="5"/>
  <c r="B68" i="5"/>
  <c r="D67" i="5"/>
  <c r="B67" i="5"/>
  <c r="D66" i="5"/>
  <c r="C66" i="5"/>
  <c r="B66" i="5"/>
  <c r="D65" i="5"/>
  <c r="C65" i="5"/>
  <c r="B65" i="5"/>
  <c r="D64" i="5"/>
  <c r="C64" i="5"/>
  <c r="B64" i="5"/>
  <c r="D63" i="5"/>
  <c r="C63" i="5"/>
  <c r="B63" i="5"/>
  <c r="D62" i="5"/>
  <c r="C62" i="5"/>
  <c r="B62" i="5"/>
  <c r="D61" i="5"/>
  <c r="C61" i="5"/>
  <c r="B61" i="5"/>
  <c r="D60" i="5"/>
  <c r="C60" i="5"/>
  <c r="B60" i="5"/>
  <c r="D59" i="5"/>
  <c r="C59" i="5"/>
  <c r="B59" i="5"/>
  <c r="D58" i="5"/>
  <c r="C58" i="5"/>
  <c r="B58" i="5"/>
  <c r="D57" i="5"/>
  <c r="C57" i="5"/>
  <c r="B57" i="5"/>
  <c r="D56" i="5"/>
  <c r="C56" i="5"/>
  <c r="B56" i="5"/>
  <c r="D55" i="5"/>
  <c r="C55" i="5"/>
  <c r="B55" i="5"/>
  <c r="D54" i="5"/>
  <c r="C54" i="5"/>
  <c r="B54" i="5"/>
  <c r="D53" i="5"/>
  <c r="C53" i="5"/>
  <c r="B53" i="5"/>
  <c r="D52" i="5"/>
  <c r="C52" i="5"/>
  <c r="B52" i="5"/>
  <c r="D49" i="5"/>
  <c r="C49" i="5"/>
  <c r="B49" i="5"/>
  <c r="D48" i="5"/>
  <c r="C48" i="5"/>
  <c r="B48" i="5"/>
  <c r="D47" i="5"/>
  <c r="C47" i="5"/>
  <c r="B47" i="5"/>
  <c r="D46" i="5"/>
  <c r="C46" i="5"/>
  <c r="B46" i="5"/>
  <c r="D45" i="5"/>
  <c r="C45" i="5"/>
  <c r="B45" i="5"/>
  <c r="D44" i="5"/>
  <c r="C44" i="5"/>
  <c r="B44" i="5"/>
  <c r="F28" i="5"/>
  <c r="F75" i="5" s="1"/>
  <c r="D28" i="5"/>
  <c r="G27" i="5"/>
  <c r="G72" i="5" s="1"/>
  <c r="D27" i="5"/>
  <c r="F26" i="5"/>
  <c r="E26" i="5"/>
  <c r="D26" i="5"/>
  <c r="E57" i="5" s="1"/>
  <c r="C22" i="5"/>
  <c r="J14" i="5"/>
  <c r="F14" i="5"/>
  <c r="G13" i="5"/>
  <c r="C13" i="5"/>
  <c r="C12" i="5"/>
  <c r="C11" i="5"/>
  <c r="C14" i="5" s="1"/>
  <c r="M6" i="5"/>
  <c r="C6" i="5"/>
  <c r="D155" i="4"/>
  <c r="C155" i="4"/>
  <c r="B155" i="4"/>
  <c r="D152" i="4"/>
  <c r="C152" i="4"/>
  <c r="B152" i="4"/>
  <c r="D148" i="4"/>
  <c r="C148" i="4"/>
  <c r="B148" i="4"/>
  <c r="D147" i="4"/>
  <c r="C147" i="4"/>
  <c r="D146" i="4"/>
  <c r="C146" i="4"/>
  <c r="B146" i="4"/>
  <c r="D145" i="4"/>
  <c r="C145" i="4"/>
  <c r="B145" i="4"/>
  <c r="D142" i="4"/>
  <c r="C142" i="4"/>
  <c r="B142" i="4"/>
  <c r="D141" i="4"/>
  <c r="B141" i="4"/>
  <c r="D140" i="4"/>
  <c r="B140" i="4"/>
  <c r="D139" i="4"/>
  <c r="C139" i="4"/>
  <c r="B139" i="4"/>
  <c r="D138" i="4"/>
  <c r="C138" i="4"/>
  <c r="B138" i="4"/>
  <c r="D137" i="4"/>
  <c r="C137" i="4"/>
  <c r="B137" i="4"/>
  <c r="D136" i="4"/>
  <c r="C136" i="4"/>
  <c r="B136" i="4"/>
  <c r="D135" i="4"/>
  <c r="C135" i="4"/>
  <c r="B135" i="4"/>
  <c r="D134" i="4"/>
  <c r="C134" i="4"/>
  <c r="B134" i="4"/>
  <c r="D133" i="4"/>
  <c r="C133" i="4"/>
  <c r="B133" i="4"/>
  <c r="D132" i="4"/>
  <c r="C132" i="4"/>
  <c r="B132" i="4"/>
  <c r="D131" i="4"/>
  <c r="C131" i="4"/>
  <c r="B131" i="4"/>
  <c r="D130" i="4"/>
  <c r="C130" i="4"/>
  <c r="B130" i="4"/>
  <c r="D129" i="4"/>
  <c r="C129" i="4"/>
  <c r="B129" i="4"/>
  <c r="D128" i="4"/>
  <c r="C128" i="4"/>
  <c r="B128" i="4"/>
  <c r="D127" i="4"/>
  <c r="C127" i="4"/>
  <c r="B127" i="4"/>
  <c r="D126" i="4"/>
  <c r="C126" i="4"/>
  <c r="B126" i="4"/>
  <c r="D125" i="4"/>
  <c r="C125" i="4"/>
  <c r="B125" i="4"/>
  <c r="D122" i="4"/>
  <c r="C122" i="4"/>
  <c r="B122" i="4"/>
  <c r="D121" i="4"/>
  <c r="C121" i="4"/>
  <c r="B121" i="4"/>
  <c r="D120" i="4"/>
  <c r="C120" i="4"/>
  <c r="B120" i="4"/>
  <c r="D119" i="4"/>
  <c r="C119" i="4"/>
  <c r="B119" i="4"/>
  <c r="D118" i="4"/>
  <c r="C118" i="4"/>
  <c r="B118" i="4"/>
  <c r="D117" i="4"/>
  <c r="C117" i="4"/>
  <c r="B117" i="4"/>
  <c r="D100" i="4"/>
  <c r="D99" i="4"/>
  <c r="D98" i="4"/>
  <c r="D97" i="4"/>
  <c r="D96" i="4"/>
  <c r="C93" i="4"/>
  <c r="E98" i="4" s="1"/>
  <c r="D83" i="4"/>
  <c r="C83" i="4"/>
  <c r="B83" i="4"/>
  <c r="D80" i="4"/>
  <c r="C80" i="4"/>
  <c r="B80" i="4"/>
  <c r="D76" i="4"/>
  <c r="C76" i="4"/>
  <c r="B76" i="4"/>
  <c r="D75" i="4"/>
  <c r="C75" i="4"/>
  <c r="D74" i="4"/>
  <c r="C74" i="4"/>
  <c r="B74" i="4"/>
  <c r="D73" i="4"/>
  <c r="C73" i="4"/>
  <c r="B73" i="4"/>
  <c r="D70" i="4"/>
  <c r="C70" i="4"/>
  <c r="B70" i="4"/>
  <c r="D69" i="4"/>
  <c r="B69" i="4"/>
  <c r="D68" i="4"/>
  <c r="B68" i="4"/>
  <c r="D67" i="4"/>
  <c r="C67" i="4"/>
  <c r="B67" i="4"/>
  <c r="D66" i="4"/>
  <c r="C66" i="4"/>
  <c r="B66" i="4"/>
  <c r="D65" i="4"/>
  <c r="C65" i="4"/>
  <c r="B65" i="4"/>
  <c r="D64" i="4"/>
  <c r="C64" i="4"/>
  <c r="B64" i="4"/>
  <c r="D63" i="4"/>
  <c r="C63" i="4"/>
  <c r="B63" i="4"/>
  <c r="D62" i="4"/>
  <c r="C62" i="4"/>
  <c r="B62" i="4"/>
  <c r="D61" i="4"/>
  <c r="C61" i="4"/>
  <c r="B61" i="4"/>
  <c r="D60" i="4"/>
  <c r="C60" i="4"/>
  <c r="B60" i="4"/>
  <c r="D59" i="4"/>
  <c r="C59" i="4"/>
  <c r="B59" i="4"/>
  <c r="D58" i="4"/>
  <c r="C58" i="4"/>
  <c r="B58" i="4"/>
  <c r="D57" i="4"/>
  <c r="C57" i="4"/>
  <c r="B57" i="4"/>
  <c r="D56" i="4"/>
  <c r="C56" i="4"/>
  <c r="B56" i="4"/>
  <c r="D55" i="4"/>
  <c r="C55" i="4"/>
  <c r="B55" i="4"/>
  <c r="D54" i="4"/>
  <c r="C54" i="4"/>
  <c r="B54" i="4"/>
  <c r="D53" i="4"/>
  <c r="C53" i="4"/>
  <c r="B53" i="4"/>
  <c r="D50" i="4"/>
  <c r="C50" i="4"/>
  <c r="B50" i="4"/>
  <c r="D49" i="4"/>
  <c r="C49" i="4"/>
  <c r="B49" i="4"/>
  <c r="D48" i="4"/>
  <c r="C48" i="4"/>
  <c r="B48" i="4"/>
  <c r="D47" i="4"/>
  <c r="C47" i="4"/>
  <c r="B47" i="4"/>
  <c r="D46" i="4"/>
  <c r="C46" i="4"/>
  <c r="B46" i="4"/>
  <c r="D45" i="4"/>
  <c r="C45" i="4"/>
  <c r="B45" i="4"/>
  <c r="D28" i="4"/>
  <c r="D27" i="4"/>
  <c r="G26" i="4"/>
  <c r="G73" i="4" s="1"/>
  <c r="F26" i="4"/>
  <c r="F73" i="4" s="1"/>
  <c r="E26" i="4"/>
  <c r="D26" i="4"/>
  <c r="D24" i="4"/>
  <c r="C21" i="4"/>
  <c r="E28" i="4" s="1"/>
  <c r="K13" i="4"/>
  <c r="J12" i="1" s="1"/>
  <c r="J13" i="4"/>
  <c r="I13" i="4"/>
  <c r="C12" i="4"/>
  <c r="C11" i="4"/>
  <c r="M6" i="4"/>
  <c r="C6" i="4"/>
  <c r="D83" i="3"/>
  <c r="C83" i="3"/>
  <c r="B83" i="3"/>
  <c r="D80" i="3"/>
  <c r="C80" i="3"/>
  <c r="B80" i="3"/>
  <c r="D77" i="3"/>
  <c r="C77" i="3"/>
  <c r="B77" i="3"/>
  <c r="D74" i="3"/>
  <c r="C74" i="3"/>
  <c r="B74" i="3"/>
  <c r="D71" i="3"/>
  <c r="C71" i="3"/>
  <c r="B71" i="3"/>
  <c r="D70" i="3"/>
  <c r="B70" i="3"/>
  <c r="D69" i="3"/>
  <c r="B69" i="3"/>
  <c r="D68" i="3"/>
  <c r="C68" i="3"/>
  <c r="B68" i="3"/>
  <c r="D67" i="3"/>
  <c r="C67" i="3"/>
  <c r="B67" i="3"/>
  <c r="D66" i="3"/>
  <c r="C66" i="3"/>
  <c r="B66" i="3"/>
  <c r="D65" i="3"/>
  <c r="C65" i="3"/>
  <c r="B65" i="3"/>
  <c r="D64" i="3"/>
  <c r="C64" i="3"/>
  <c r="B64" i="3"/>
  <c r="D63" i="3"/>
  <c r="C63" i="3"/>
  <c r="B63" i="3"/>
  <c r="D62" i="3"/>
  <c r="C62" i="3"/>
  <c r="B62" i="3"/>
  <c r="D61" i="3"/>
  <c r="C61" i="3"/>
  <c r="B61" i="3"/>
  <c r="D60" i="3"/>
  <c r="C60" i="3"/>
  <c r="B60" i="3"/>
  <c r="D59" i="3"/>
  <c r="C59" i="3"/>
  <c r="B59" i="3"/>
  <c r="D58" i="3"/>
  <c r="C58" i="3"/>
  <c r="B58" i="3"/>
  <c r="D57" i="3"/>
  <c r="C57" i="3"/>
  <c r="B57" i="3"/>
  <c r="D56" i="3"/>
  <c r="C56" i="3"/>
  <c r="B56" i="3"/>
  <c r="D55" i="3"/>
  <c r="C55" i="3"/>
  <c r="B55" i="3"/>
  <c r="D54" i="3"/>
  <c r="C54" i="3"/>
  <c r="B54" i="3"/>
  <c r="D51" i="3"/>
  <c r="C51" i="3"/>
  <c r="B51" i="3"/>
  <c r="D50" i="3"/>
  <c r="C50" i="3"/>
  <c r="B50" i="3"/>
  <c r="D49" i="3"/>
  <c r="C49" i="3"/>
  <c r="B49" i="3"/>
  <c r="D48" i="3"/>
  <c r="C48" i="3"/>
  <c r="B48" i="3"/>
  <c r="D47" i="3"/>
  <c r="C47" i="3"/>
  <c r="B47" i="3"/>
  <c r="D46" i="3"/>
  <c r="C46" i="3"/>
  <c r="B46" i="3"/>
  <c r="F28" i="3"/>
  <c r="F83" i="3" s="1"/>
  <c r="D28" i="3"/>
  <c r="D27" i="3"/>
  <c r="D26" i="3"/>
  <c r="D24" i="3"/>
  <c r="D23" i="3"/>
  <c r="C20" i="3"/>
  <c r="F27" i="3" s="1"/>
  <c r="F80" i="3" s="1"/>
  <c r="I12" i="3"/>
  <c r="F12" i="3"/>
  <c r="C11" i="3"/>
  <c r="C12" i="3" s="1"/>
  <c r="M6" i="3"/>
  <c r="C6" i="3"/>
  <c r="D83" i="2"/>
  <c r="C83" i="2"/>
  <c r="B83" i="2"/>
  <c r="D80" i="2"/>
  <c r="C80" i="2"/>
  <c r="B80" i="2"/>
  <c r="D77" i="2"/>
  <c r="C77" i="2"/>
  <c r="B77" i="2"/>
  <c r="D74" i="2"/>
  <c r="G74" i="2" s="1"/>
  <c r="C74" i="2"/>
  <c r="B74" i="2"/>
  <c r="D71" i="2"/>
  <c r="C71" i="2"/>
  <c r="B71" i="2"/>
  <c r="D70" i="2"/>
  <c r="B70" i="2"/>
  <c r="D69" i="2"/>
  <c r="B69" i="2"/>
  <c r="D68" i="2"/>
  <c r="C68" i="2"/>
  <c r="B68" i="2"/>
  <c r="D67" i="2"/>
  <c r="C67" i="2"/>
  <c r="B67" i="2"/>
  <c r="D66" i="2"/>
  <c r="C66" i="2"/>
  <c r="B66" i="2"/>
  <c r="D65" i="2"/>
  <c r="C65" i="2"/>
  <c r="B65" i="2"/>
  <c r="D64" i="2"/>
  <c r="C64" i="2"/>
  <c r="B64" i="2"/>
  <c r="D63" i="2"/>
  <c r="C63" i="2"/>
  <c r="B63" i="2"/>
  <c r="D62" i="2"/>
  <c r="C62" i="2"/>
  <c r="B62" i="2"/>
  <c r="D61" i="2"/>
  <c r="C61" i="2"/>
  <c r="B61" i="2"/>
  <c r="D60" i="2"/>
  <c r="C60" i="2"/>
  <c r="B60" i="2"/>
  <c r="D59" i="2"/>
  <c r="C59" i="2"/>
  <c r="B59" i="2"/>
  <c r="D58" i="2"/>
  <c r="C58" i="2"/>
  <c r="B58" i="2"/>
  <c r="D57" i="2"/>
  <c r="C57" i="2"/>
  <c r="B57" i="2"/>
  <c r="D56" i="2"/>
  <c r="C56" i="2"/>
  <c r="B56" i="2"/>
  <c r="D55" i="2"/>
  <c r="C55" i="2"/>
  <c r="B55" i="2"/>
  <c r="D54" i="2"/>
  <c r="C54" i="2"/>
  <c r="B54" i="2"/>
  <c r="D51" i="2"/>
  <c r="C51" i="2"/>
  <c r="B51" i="2"/>
  <c r="D50" i="2"/>
  <c r="C50" i="2"/>
  <c r="B50" i="2"/>
  <c r="D49" i="2"/>
  <c r="C49" i="2"/>
  <c r="B49" i="2"/>
  <c r="D48" i="2"/>
  <c r="C48" i="2"/>
  <c r="B48" i="2"/>
  <c r="D47" i="2"/>
  <c r="C47" i="2"/>
  <c r="B47" i="2"/>
  <c r="D46" i="2"/>
  <c r="C46" i="2"/>
  <c r="B46" i="2"/>
  <c r="I28" i="2"/>
  <c r="H28" i="2"/>
  <c r="F28" i="2"/>
  <c r="D28" i="2"/>
  <c r="J27" i="2"/>
  <c r="I27" i="2"/>
  <c r="H27" i="2"/>
  <c r="G27" i="2"/>
  <c r="F27" i="2"/>
  <c r="F80" i="2" s="1"/>
  <c r="D27" i="2"/>
  <c r="J26" i="2"/>
  <c r="J77" i="2" s="1"/>
  <c r="H26" i="2"/>
  <c r="H77" i="2" s="1"/>
  <c r="G26" i="2"/>
  <c r="G77" i="2" s="1"/>
  <c r="F26" i="2"/>
  <c r="F77" i="2" s="1"/>
  <c r="D26" i="2"/>
  <c r="H74" i="2"/>
  <c r="F74" i="2"/>
  <c r="J24" i="2"/>
  <c r="I24" i="2"/>
  <c r="G24" i="2"/>
  <c r="F24" i="2"/>
  <c r="D24" i="2"/>
  <c r="K23" i="2"/>
  <c r="J23" i="2"/>
  <c r="J49" i="2" s="1"/>
  <c r="I23" i="2"/>
  <c r="H23" i="2"/>
  <c r="G23" i="2"/>
  <c r="D23" i="2"/>
  <c r="C20" i="2"/>
  <c r="G28" i="2" s="1"/>
  <c r="I12" i="2"/>
  <c r="F12" i="2"/>
  <c r="C11" i="2"/>
  <c r="C12" i="2" s="1"/>
  <c r="M6" i="2"/>
  <c r="C6" i="2"/>
  <c r="J18" i="1"/>
  <c r="H18" i="1"/>
  <c r="H17" i="1"/>
  <c r="G17" i="1"/>
  <c r="H16" i="1"/>
  <c r="G16" i="1"/>
  <c r="H15" i="1"/>
  <c r="G15" i="1"/>
  <c r="H13" i="1"/>
  <c r="H11" i="1"/>
  <c r="H10" i="1"/>
  <c r="E76" i="4" l="1"/>
  <c r="E100" i="4"/>
  <c r="F75" i="4"/>
  <c r="F46" i="4"/>
  <c r="F76" i="4"/>
  <c r="E24" i="4"/>
  <c r="E49" i="4" s="1"/>
  <c r="F27" i="4"/>
  <c r="F80" i="4" s="1"/>
  <c r="G25" i="4"/>
  <c r="G62" i="4" s="1"/>
  <c r="E73" i="4"/>
  <c r="H73" i="4" s="1"/>
  <c r="I73" i="4" s="1"/>
  <c r="J73" i="4" s="1"/>
  <c r="E27" i="4"/>
  <c r="F24" i="4"/>
  <c r="F28" i="4"/>
  <c r="F25" i="4"/>
  <c r="F100" i="4"/>
  <c r="F155" i="4" s="1"/>
  <c r="G27" i="4"/>
  <c r="G80" i="4" s="1"/>
  <c r="E97" i="4"/>
  <c r="E141" i="4" s="1"/>
  <c r="G24" i="4"/>
  <c r="G45" i="4" s="1"/>
  <c r="G97" i="4"/>
  <c r="G136" i="4" s="1"/>
  <c r="G76" i="4"/>
  <c r="E25" i="4"/>
  <c r="E67" i="4" s="1"/>
  <c r="H25" i="3"/>
  <c r="K25" i="3" s="1"/>
  <c r="L25" i="3" s="1"/>
  <c r="E23" i="3"/>
  <c r="E46" i="3" s="1"/>
  <c r="E27" i="3"/>
  <c r="I25" i="3"/>
  <c r="I80" i="2"/>
  <c r="G51" i="2"/>
  <c r="K25" i="2"/>
  <c r="H80" i="2"/>
  <c r="J80" i="2"/>
  <c r="E25" i="2"/>
  <c r="M25" i="2" s="1"/>
  <c r="N25" i="2" s="1"/>
  <c r="G80" i="2"/>
  <c r="H24" i="2"/>
  <c r="H29" i="2" s="1"/>
  <c r="I26" i="2"/>
  <c r="I77" i="2" s="1"/>
  <c r="E146" i="6"/>
  <c r="E53" i="5"/>
  <c r="F56" i="10"/>
  <c r="E137" i="6"/>
  <c r="F69" i="5"/>
  <c r="F54" i="10"/>
  <c r="G66" i="2"/>
  <c r="E135" i="6"/>
  <c r="F65" i="2"/>
  <c r="F64" i="5"/>
  <c r="F58" i="10"/>
  <c r="G70" i="2"/>
  <c r="G57" i="8"/>
  <c r="G25" i="8" s="1"/>
  <c r="F62" i="10"/>
  <c r="G64" i="2"/>
  <c r="G58" i="2"/>
  <c r="F61" i="2"/>
  <c r="K47" i="2"/>
  <c r="I69" i="2"/>
  <c r="G56" i="2"/>
  <c r="G65" i="2"/>
  <c r="E142" i="6"/>
  <c r="F71" i="2"/>
  <c r="G55" i="2"/>
  <c r="I55" i="2"/>
  <c r="G54" i="2"/>
  <c r="G68" i="2"/>
  <c r="I47" i="2"/>
  <c r="J46" i="2"/>
  <c r="I67" i="2"/>
  <c r="I57" i="2"/>
  <c r="I71" i="2"/>
  <c r="I63" i="2"/>
  <c r="I70" i="2"/>
  <c r="I59" i="2"/>
  <c r="I68" i="2"/>
  <c r="I58" i="2"/>
  <c r="I64" i="2"/>
  <c r="I60" i="2"/>
  <c r="I62" i="2"/>
  <c r="I61" i="2"/>
  <c r="H55" i="2"/>
  <c r="I56" i="2"/>
  <c r="J60" i="2"/>
  <c r="J66" i="2"/>
  <c r="J56" i="2"/>
  <c r="J69" i="2"/>
  <c r="J62" i="2"/>
  <c r="J61" i="2"/>
  <c r="J71" i="2"/>
  <c r="J65" i="2"/>
  <c r="J59" i="2"/>
  <c r="J70" i="2"/>
  <c r="J63" i="2"/>
  <c r="I54" i="2"/>
  <c r="K51" i="2"/>
  <c r="G47" i="2"/>
  <c r="H46" i="2"/>
  <c r="I48" i="2"/>
  <c r="K46" i="2"/>
  <c r="K48" i="2"/>
  <c r="K50" i="2"/>
  <c r="F83" i="2"/>
  <c r="I49" i="2"/>
  <c r="J50" i="2"/>
  <c r="G46" i="2"/>
  <c r="G48" i="2"/>
  <c r="G29" i="2"/>
  <c r="H47" i="2"/>
  <c r="H49" i="2"/>
  <c r="H51" i="2"/>
  <c r="I46" i="2"/>
  <c r="G49" i="2"/>
  <c r="I50" i="2"/>
  <c r="J58" i="2"/>
  <c r="I65" i="2"/>
  <c r="J68" i="2"/>
  <c r="G83" i="2"/>
  <c r="F57" i="2"/>
  <c r="F62" i="2"/>
  <c r="F67" i="2"/>
  <c r="H83" i="2"/>
  <c r="H48" i="2"/>
  <c r="K49" i="2"/>
  <c r="J57" i="2"/>
  <c r="J67" i="2"/>
  <c r="H66" i="2"/>
  <c r="H56" i="2"/>
  <c r="I66" i="2"/>
  <c r="G50" i="2"/>
  <c r="I51" i="2"/>
  <c r="J54" i="2"/>
  <c r="J55" i="2"/>
  <c r="J51" i="2"/>
  <c r="J47" i="2"/>
  <c r="H50" i="2"/>
  <c r="E51" i="3"/>
  <c r="E50" i="3"/>
  <c r="E48" i="3"/>
  <c r="E49" i="3"/>
  <c r="F68" i="2"/>
  <c r="F58" i="2"/>
  <c r="F64" i="2"/>
  <c r="F54" i="2"/>
  <c r="F60" i="2"/>
  <c r="F59" i="2"/>
  <c r="F70" i="2"/>
  <c r="F63" i="2"/>
  <c r="F66" i="2"/>
  <c r="F69" i="2"/>
  <c r="G61" i="2"/>
  <c r="G67" i="2"/>
  <c r="G57" i="2"/>
  <c r="G71" i="2"/>
  <c r="G63" i="2"/>
  <c r="G69" i="2"/>
  <c r="G62" i="2"/>
  <c r="G59" i="2"/>
  <c r="G60" i="2"/>
  <c r="I83" i="2"/>
  <c r="J48" i="2"/>
  <c r="F55" i="2"/>
  <c r="F56" i="2"/>
  <c r="J64" i="2"/>
  <c r="E80" i="4"/>
  <c r="E155" i="4"/>
  <c r="H183" i="5"/>
  <c r="I182" i="5"/>
  <c r="E80" i="3"/>
  <c r="J28" i="2"/>
  <c r="J83" i="2" s="1"/>
  <c r="K27" i="2"/>
  <c r="K80" i="2" s="1"/>
  <c r="E23" i="2"/>
  <c r="E63" i="4"/>
  <c r="E53" i="4"/>
  <c r="E68" i="4"/>
  <c r="E64" i="4"/>
  <c r="E57" i="4"/>
  <c r="E56" i="4"/>
  <c r="E62" i="4"/>
  <c r="E59" i="4"/>
  <c r="E54" i="4"/>
  <c r="E60" i="4"/>
  <c r="I24" i="3"/>
  <c r="H23" i="3"/>
  <c r="I74" i="3"/>
  <c r="H24" i="3"/>
  <c r="G23" i="3"/>
  <c r="H27" i="3"/>
  <c r="H80" i="3" s="1"/>
  <c r="G26" i="3"/>
  <c r="G77" i="3" s="1"/>
  <c r="F74" i="3"/>
  <c r="E24" i="3"/>
  <c r="E28" i="3"/>
  <c r="H26" i="3"/>
  <c r="H77" i="3" s="1"/>
  <c r="F23" i="3"/>
  <c r="E26" i="3"/>
  <c r="G27" i="3"/>
  <c r="G80" i="3" s="1"/>
  <c r="F24" i="3"/>
  <c r="H28" i="3"/>
  <c r="H83" i="3" s="1"/>
  <c r="G74" i="3"/>
  <c r="I27" i="3"/>
  <c r="I80" i="3" s="1"/>
  <c r="E133" i="4"/>
  <c r="F23" i="2"/>
  <c r="E24" i="2"/>
  <c r="E26" i="2"/>
  <c r="E27" i="2"/>
  <c r="E28" i="2"/>
  <c r="H74" i="3"/>
  <c r="E83" i="4"/>
  <c r="F83" i="4"/>
  <c r="I23" i="3"/>
  <c r="G28" i="3"/>
  <c r="G83" i="3" s="1"/>
  <c r="E146" i="4"/>
  <c r="E148" i="4"/>
  <c r="E145" i="4"/>
  <c r="E147" i="4"/>
  <c r="F26" i="3"/>
  <c r="F77" i="3" s="1"/>
  <c r="C13" i="4"/>
  <c r="E70" i="4"/>
  <c r="I26" i="3"/>
  <c r="I77" i="3" s="1"/>
  <c r="K24" i="2"/>
  <c r="K74" i="2"/>
  <c r="K26" i="2"/>
  <c r="K77" i="2" s="1"/>
  <c r="G24" i="3"/>
  <c r="C12" i="8"/>
  <c r="F75" i="6"/>
  <c r="F77" i="6"/>
  <c r="F76" i="6"/>
  <c r="F78" i="6"/>
  <c r="E130" i="6"/>
  <c r="E127" i="6"/>
  <c r="E128" i="6"/>
  <c r="I105" i="6"/>
  <c r="E110" i="6"/>
  <c r="E131" i="6"/>
  <c r="E126" i="6"/>
  <c r="E67" i="5"/>
  <c r="E58" i="5"/>
  <c r="E61" i="5"/>
  <c r="E54" i="5"/>
  <c r="E62" i="5"/>
  <c r="E56" i="5"/>
  <c r="E63" i="5"/>
  <c r="E69" i="5"/>
  <c r="E60" i="5"/>
  <c r="E65" i="5"/>
  <c r="E55" i="5"/>
  <c r="I26" i="5"/>
  <c r="E52" i="5"/>
  <c r="E68" i="5"/>
  <c r="E66" i="5"/>
  <c r="E59" i="5"/>
  <c r="E129" i="5"/>
  <c r="G129" i="5" s="1"/>
  <c r="G97" i="5" s="1"/>
  <c r="E141" i="5" s="1"/>
  <c r="H97" i="5"/>
  <c r="G75" i="6"/>
  <c r="G76" i="6"/>
  <c r="G78" i="6"/>
  <c r="G77" i="6"/>
  <c r="E129" i="6"/>
  <c r="H129" i="6" s="1"/>
  <c r="I129" i="6" s="1"/>
  <c r="J129" i="6" s="1"/>
  <c r="E188" i="5"/>
  <c r="G188" i="5" s="1"/>
  <c r="G156" i="5" s="1"/>
  <c r="E200" i="5" s="1"/>
  <c r="H156" i="5"/>
  <c r="E185" i="5"/>
  <c r="G185" i="5" s="1"/>
  <c r="G155" i="5" s="1"/>
  <c r="E199" i="5" s="1"/>
  <c r="H155" i="5"/>
  <c r="F99" i="4"/>
  <c r="F152" i="4" s="1"/>
  <c r="G96" i="4"/>
  <c r="F96" i="4"/>
  <c r="G99" i="4"/>
  <c r="G152" i="4" s="1"/>
  <c r="E96" i="4"/>
  <c r="F97" i="4"/>
  <c r="G98" i="4"/>
  <c r="F98" i="4"/>
  <c r="E64" i="5"/>
  <c r="E301" i="6"/>
  <c r="G74" i="4"/>
  <c r="E74" i="4"/>
  <c r="I26" i="4"/>
  <c r="E75" i="4"/>
  <c r="F49" i="4"/>
  <c r="F74" i="4"/>
  <c r="E99" i="4"/>
  <c r="E158" i="5"/>
  <c r="E182" i="5"/>
  <c r="G182" i="5" s="1"/>
  <c r="G154" i="5" s="1"/>
  <c r="E198" i="5" s="1"/>
  <c r="F53" i="5"/>
  <c r="F118" i="5"/>
  <c r="F119" i="5"/>
  <c r="F116" i="5"/>
  <c r="F120" i="5"/>
  <c r="F117" i="5"/>
  <c r="G129" i="6"/>
  <c r="G128" i="6"/>
  <c r="G130" i="6"/>
  <c r="G187" i="6"/>
  <c r="G240" i="6" s="1"/>
  <c r="E188" i="6"/>
  <c r="E185" i="6"/>
  <c r="E186" i="6"/>
  <c r="G186" i="6"/>
  <c r="G184" i="6"/>
  <c r="F188" i="6"/>
  <c r="F243" i="6" s="1"/>
  <c r="F186" i="6"/>
  <c r="F184" i="6"/>
  <c r="E184" i="6"/>
  <c r="F187" i="6"/>
  <c r="F240" i="6" s="1"/>
  <c r="E187" i="6"/>
  <c r="G185" i="6"/>
  <c r="F185" i="6"/>
  <c r="H264" i="6"/>
  <c r="F59" i="5"/>
  <c r="F55" i="5"/>
  <c r="F67" i="5"/>
  <c r="F62" i="5"/>
  <c r="F57" i="5"/>
  <c r="F68" i="5"/>
  <c r="F58" i="5"/>
  <c r="F56" i="5"/>
  <c r="E28" i="6"/>
  <c r="G29" i="6"/>
  <c r="G82" i="6" s="1"/>
  <c r="G26" i="6"/>
  <c r="F29" i="6"/>
  <c r="F82" i="6" s="1"/>
  <c r="F26" i="6"/>
  <c r="E29" i="6"/>
  <c r="E26" i="6"/>
  <c r="F30" i="6"/>
  <c r="F85" i="6" s="1"/>
  <c r="E27" i="6"/>
  <c r="F27" i="6"/>
  <c r="G54" i="4"/>
  <c r="F27" i="5"/>
  <c r="F72" i="5" s="1"/>
  <c r="E28" i="5"/>
  <c r="G26" i="5"/>
  <c r="F61" i="5"/>
  <c r="F66" i="5"/>
  <c r="F115" i="5"/>
  <c r="E176" i="5"/>
  <c r="G176" i="5" s="1"/>
  <c r="H176" i="5" s="1"/>
  <c r="I176" i="5" s="1"/>
  <c r="H153" i="5"/>
  <c r="E177" i="5"/>
  <c r="G177" i="5" s="1"/>
  <c r="H177" i="5" s="1"/>
  <c r="I177" i="5" s="1"/>
  <c r="E174" i="5"/>
  <c r="G174" i="5" s="1"/>
  <c r="F157" i="5"/>
  <c r="E175" i="5"/>
  <c r="G175" i="5" s="1"/>
  <c r="H175" i="5" s="1"/>
  <c r="I175" i="5" s="1"/>
  <c r="E179" i="5"/>
  <c r="E30" i="6"/>
  <c r="G161" i="6"/>
  <c r="F52" i="5"/>
  <c r="I108" i="6"/>
  <c r="G126" i="6"/>
  <c r="H59" i="7"/>
  <c r="H27" i="7" s="1"/>
  <c r="E71" i="7" s="1"/>
  <c r="F63" i="5"/>
  <c r="H95" i="5"/>
  <c r="F54" i="5"/>
  <c r="F65" i="5"/>
  <c r="G27" i="6"/>
  <c r="F292" i="6"/>
  <c r="G45" i="7"/>
  <c r="G47" i="7"/>
  <c r="G50" i="7"/>
  <c r="G48" i="7"/>
  <c r="G46" i="7"/>
  <c r="G75" i="4"/>
  <c r="E27" i="5"/>
  <c r="F60" i="5"/>
  <c r="C15" i="6"/>
  <c r="F130" i="6"/>
  <c r="F129" i="6"/>
  <c r="F126" i="6"/>
  <c r="E154" i="6"/>
  <c r="H154" i="6" s="1"/>
  <c r="I107" i="6"/>
  <c r="E156" i="6"/>
  <c r="H156" i="6" s="1"/>
  <c r="I156" i="6" s="1"/>
  <c r="J156" i="6" s="1"/>
  <c r="G131" i="6"/>
  <c r="F155" i="6"/>
  <c r="H155" i="6" s="1"/>
  <c r="I155" i="6" s="1"/>
  <c r="J155" i="6" s="1"/>
  <c r="F157" i="6"/>
  <c r="H157" i="6" s="1"/>
  <c r="F156" i="6"/>
  <c r="F154" i="6"/>
  <c r="F287" i="6"/>
  <c r="E288" i="6"/>
  <c r="G288" i="6" s="1"/>
  <c r="H288" i="6" s="1"/>
  <c r="I288" i="6" s="1"/>
  <c r="E284" i="6"/>
  <c r="F286" i="6"/>
  <c r="F46" i="7"/>
  <c r="F49" i="7"/>
  <c r="F50" i="7"/>
  <c r="F47" i="7"/>
  <c r="F45" i="7"/>
  <c r="E84" i="7"/>
  <c r="F85" i="7"/>
  <c r="F115" i="7" s="1"/>
  <c r="G86" i="7"/>
  <c r="G118" i="7" s="1"/>
  <c r="E83" i="7"/>
  <c r="G83" i="7"/>
  <c r="F87" i="7"/>
  <c r="F121" i="7" s="1"/>
  <c r="G85" i="7"/>
  <c r="G115" i="7" s="1"/>
  <c r="F83" i="7"/>
  <c r="F84" i="7"/>
  <c r="F112" i="7" s="1"/>
  <c r="G84" i="7"/>
  <c r="G112" i="7" s="1"/>
  <c r="E87" i="7"/>
  <c r="F86" i="7"/>
  <c r="F118" i="7" s="1"/>
  <c r="E86" i="7"/>
  <c r="E96" i="5"/>
  <c r="F95" i="5"/>
  <c r="F179" i="5"/>
  <c r="F174" i="5"/>
  <c r="F178" i="5"/>
  <c r="G178" i="5" s="1"/>
  <c r="H178" i="5" s="1"/>
  <c r="I178" i="5" s="1"/>
  <c r="E94" i="5"/>
  <c r="F96" i="5"/>
  <c r="F126" i="5" s="1"/>
  <c r="E98" i="5"/>
  <c r="E151" i="6"/>
  <c r="E143" i="6"/>
  <c r="E148" i="6"/>
  <c r="E136" i="6"/>
  <c r="E149" i="6"/>
  <c r="E150" i="6"/>
  <c r="E147" i="6"/>
  <c r="E144" i="6"/>
  <c r="E138" i="6"/>
  <c r="E134" i="6"/>
  <c r="E140" i="6"/>
  <c r="E141" i="6"/>
  <c r="F161" i="6"/>
  <c r="H161" i="6" s="1"/>
  <c r="H108" i="6" s="1"/>
  <c r="E172" i="6" s="1"/>
  <c r="E139" i="6"/>
  <c r="G292" i="6"/>
  <c r="G264" i="6" s="1"/>
  <c r="E308" i="6" s="1"/>
  <c r="E85" i="7"/>
  <c r="F131" i="6"/>
  <c r="F128" i="6"/>
  <c r="H265" i="6"/>
  <c r="I263" i="6"/>
  <c r="F23" i="8"/>
  <c r="F26" i="8"/>
  <c r="F60" i="8" s="1"/>
  <c r="F24" i="8"/>
  <c r="F54" i="8" s="1"/>
  <c r="E27" i="8"/>
  <c r="E28" i="8"/>
  <c r="F27" i="8"/>
  <c r="F63" i="8" s="1"/>
  <c r="E24" i="8"/>
  <c r="E26" i="8"/>
  <c r="E23" i="8"/>
  <c r="F127" i="6"/>
  <c r="F24" i="9"/>
  <c r="F52" i="9" s="1"/>
  <c r="F55" i="9"/>
  <c r="E23" i="9"/>
  <c r="E24" i="9"/>
  <c r="F26" i="9"/>
  <c r="F58" i="9" s="1"/>
  <c r="E26" i="9"/>
  <c r="F23" i="9"/>
  <c r="E27" i="9"/>
  <c r="E285" i="6"/>
  <c r="G285" i="6" s="1"/>
  <c r="H285" i="6" s="1"/>
  <c r="I285" i="6" s="1"/>
  <c r="E286" i="6"/>
  <c r="E287" i="6"/>
  <c r="G287" i="6" s="1"/>
  <c r="H287" i="6" s="1"/>
  <c r="I287" i="6" s="1"/>
  <c r="E289" i="6"/>
  <c r="F109" i="6"/>
  <c r="G106" i="6"/>
  <c r="F106" i="6"/>
  <c r="I27" i="7"/>
  <c r="E47" i="10"/>
  <c r="F26" i="7"/>
  <c r="G27" i="7"/>
  <c r="G59" i="7" s="1"/>
  <c r="E24" i="7"/>
  <c r="E44" i="10"/>
  <c r="C12" i="10"/>
  <c r="F66" i="10"/>
  <c r="F61" i="10"/>
  <c r="F67" i="10"/>
  <c r="F69" i="10"/>
  <c r="F65" i="10"/>
  <c r="F60" i="10"/>
  <c r="F55" i="10"/>
  <c r="F53" i="10"/>
  <c r="F57" i="10"/>
  <c r="F63" i="10"/>
  <c r="F68" i="10"/>
  <c r="E46" i="10"/>
  <c r="F59" i="10"/>
  <c r="E48" i="10"/>
  <c r="F289" i="6"/>
  <c r="F284" i="6"/>
  <c r="E75" i="10"/>
  <c r="G75" i="10" s="1"/>
  <c r="G26" i="10" s="1"/>
  <c r="E86" i="10" s="1"/>
  <c r="H26" i="10"/>
  <c r="G72" i="10"/>
  <c r="G25" i="10" s="1"/>
  <c r="F52" i="10"/>
  <c r="E266" i="6"/>
  <c r="F23" i="10"/>
  <c r="E27" i="10"/>
  <c r="J13" i="11"/>
  <c r="J18" i="11" s="1"/>
  <c r="E24" i="10"/>
  <c r="E126" i="4" l="1"/>
  <c r="E55" i="4"/>
  <c r="H76" i="4"/>
  <c r="E61" i="4"/>
  <c r="G125" i="4"/>
  <c r="E69" i="4"/>
  <c r="E58" i="4"/>
  <c r="G128" i="4"/>
  <c r="E45" i="4"/>
  <c r="E125" i="4"/>
  <c r="G60" i="4"/>
  <c r="G131" i="4"/>
  <c r="E50" i="4"/>
  <c r="G138" i="4"/>
  <c r="E128" i="4"/>
  <c r="H80" i="4"/>
  <c r="H27" i="4" s="1"/>
  <c r="G50" i="4"/>
  <c r="G46" i="4"/>
  <c r="G135" i="4"/>
  <c r="G129" i="4"/>
  <c r="G142" i="4"/>
  <c r="E127" i="4"/>
  <c r="G59" i="4"/>
  <c r="E142" i="4"/>
  <c r="G64" i="4"/>
  <c r="G65" i="4"/>
  <c r="E134" i="4"/>
  <c r="E132" i="4"/>
  <c r="G49" i="4"/>
  <c r="H49" i="4" s="1"/>
  <c r="I49" i="4" s="1"/>
  <c r="J49" i="4" s="1"/>
  <c r="G66" i="4"/>
  <c r="G57" i="4"/>
  <c r="G61" i="4"/>
  <c r="G63" i="4"/>
  <c r="G137" i="4"/>
  <c r="G126" i="4"/>
  <c r="G68" i="4"/>
  <c r="G53" i="4"/>
  <c r="E135" i="4"/>
  <c r="E136" i="4"/>
  <c r="G48" i="4"/>
  <c r="E29" i="4"/>
  <c r="G67" i="4"/>
  <c r="G130" i="4"/>
  <c r="E129" i="4"/>
  <c r="G58" i="4"/>
  <c r="G134" i="4"/>
  <c r="E137" i="4"/>
  <c r="G47" i="4"/>
  <c r="G140" i="4"/>
  <c r="F45" i="4"/>
  <c r="F47" i="4"/>
  <c r="F48" i="4"/>
  <c r="F50" i="4"/>
  <c r="G133" i="4"/>
  <c r="E139" i="4"/>
  <c r="G56" i="4"/>
  <c r="G141" i="4"/>
  <c r="E138" i="4"/>
  <c r="E46" i="4"/>
  <c r="H46" i="4" s="1"/>
  <c r="I46" i="4" s="1"/>
  <c r="J46" i="4" s="1"/>
  <c r="E47" i="4"/>
  <c r="G69" i="4"/>
  <c r="G55" i="4"/>
  <c r="E130" i="4"/>
  <c r="E131" i="4"/>
  <c r="G70" i="4"/>
  <c r="I24" i="4"/>
  <c r="D11" i="4" s="1"/>
  <c r="G127" i="4"/>
  <c r="E140" i="4"/>
  <c r="G139" i="4"/>
  <c r="E48" i="4"/>
  <c r="H48" i="4" s="1"/>
  <c r="I48" i="4" s="1"/>
  <c r="J48" i="4" s="1"/>
  <c r="G132" i="4"/>
  <c r="I27" i="4"/>
  <c r="E66" i="4"/>
  <c r="I25" i="4"/>
  <c r="J25" i="4" s="1"/>
  <c r="E65" i="4"/>
  <c r="E47" i="3"/>
  <c r="H65" i="2"/>
  <c r="H61" i="2"/>
  <c r="H60" i="2"/>
  <c r="H62" i="2"/>
  <c r="H54" i="2"/>
  <c r="H69" i="2"/>
  <c r="H64" i="2"/>
  <c r="H70" i="2"/>
  <c r="H59" i="2"/>
  <c r="H63" i="2"/>
  <c r="H58" i="2"/>
  <c r="H71" i="2"/>
  <c r="H67" i="2"/>
  <c r="I29" i="2"/>
  <c r="H57" i="2"/>
  <c r="H68" i="2"/>
  <c r="E74" i="8"/>
  <c r="E85" i="10"/>
  <c r="F191" i="5"/>
  <c r="G191" i="5" s="1"/>
  <c r="G157" i="5" s="1"/>
  <c r="F158" i="5"/>
  <c r="H157" i="5"/>
  <c r="E75" i="5"/>
  <c r="F47" i="6"/>
  <c r="F31" i="6"/>
  <c r="F52" i="6"/>
  <c r="F49" i="6"/>
  <c r="F50" i="6"/>
  <c r="F48" i="6"/>
  <c r="F51" i="6"/>
  <c r="F206" i="6"/>
  <c r="F209" i="6"/>
  <c r="F205" i="6"/>
  <c r="F207" i="6"/>
  <c r="F189" i="6"/>
  <c r="F210" i="6"/>
  <c r="F208" i="6"/>
  <c r="E118" i="4"/>
  <c r="E122" i="4"/>
  <c r="E101" i="4"/>
  <c r="E120" i="4"/>
  <c r="I96" i="4"/>
  <c r="E121" i="4"/>
  <c r="E119" i="4"/>
  <c r="E117" i="4"/>
  <c r="E83" i="2"/>
  <c r="G49" i="3"/>
  <c r="G48" i="3"/>
  <c r="G50" i="3"/>
  <c r="G51" i="3"/>
  <c r="G46" i="3"/>
  <c r="G47" i="3"/>
  <c r="G29" i="3"/>
  <c r="E50" i="2"/>
  <c r="E46" i="2"/>
  <c r="E51" i="2"/>
  <c r="E49" i="2"/>
  <c r="E48" i="2"/>
  <c r="E47" i="2"/>
  <c r="K28" i="2"/>
  <c r="K83" i="2" s="1"/>
  <c r="M23" i="2"/>
  <c r="E29" i="2"/>
  <c r="E80" i="2"/>
  <c r="L80" i="2" s="1"/>
  <c r="L27" i="2" s="1"/>
  <c r="M27" i="2"/>
  <c r="K26" i="3"/>
  <c r="E77" i="3"/>
  <c r="J77" i="3" s="1"/>
  <c r="J26" i="3" s="1"/>
  <c r="H63" i="3"/>
  <c r="H62" i="3"/>
  <c r="H71" i="3"/>
  <c r="H59" i="3"/>
  <c r="H69" i="3"/>
  <c r="H61" i="3"/>
  <c r="H70" i="3"/>
  <c r="H54" i="3"/>
  <c r="H58" i="3"/>
  <c r="H57" i="3"/>
  <c r="H56" i="3"/>
  <c r="H65" i="3"/>
  <c r="H68" i="3"/>
  <c r="H66" i="3"/>
  <c r="H67" i="3"/>
  <c r="H64" i="3"/>
  <c r="H60" i="3"/>
  <c r="H55" i="3"/>
  <c r="J27" i="4"/>
  <c r="G11" i="4"/>
  <c r="I80" i="4"/>
  <c r="F144" i="6"/>
  <c r="F134" i="6"/>
  <c r="F143" i="6"/>
  <c r="F138" i="6"/>
  <c r="F148" i="6"/>
  <c r="F135" i="6"/>
  <c r="F141" i="6"/>
  <c r="F136" i="6"/>
  <c r="F149" i="6"/>
  <c r="F146" i="6"/>
  <c r="F142" i="6"/>
  <c r="F137" i="6"/>
  <c r="F110" i="6"/>
  <c r="F140" i="6"/>
  <c r="F139" i="6"/>
  <c r="F150" i="6"/>
  <c r="F145" i="6"/>
  <c r="I106" i="6"/>
  <c r="F147" i="6"/>
  <c r="F151" i="6"/>
  <c r="E63" i="8"/>
  <c r="G63" i="8" s="1"/>
  <c r="G27" i="8" s="1"/>
  <c r="E76" i="8" s="1"/>
  <c r="H27" i="8"/>
  <c r="H11" i="8"/>
  <c r="H12" i="8" s="1"/>
  <c r="H57" i="8"/>
  <c r="E78" i="10"/>
  <c r="G284" i="6"/>
  <c r="F49" i="10"/>
  <c r="G49" i="10" s="1"/>
  <c r="F44" i="10"/>
  <c r="G44" i="10" s="1"/>
  <c r="F45" i="10"/>
  <c r="G45" i="10" s="1"/>
  <c r="H45" i="10" s="1"/>
  <c r="I45" i="10" s="1"/>
  <c r="F46" i="10"/>
  <c r="F47" i="10"/>
  <c r="G47" i="10" s="1"/>
  <c r="H47" i="10" s="1"/>
  <c r="I47" i="10" s="1"/>
  <c r="F48" i="10"/>
  <c r="G48" i="10" s="1"/>
  <c r="H48" i="10" s="1"/>
  <c r="I48" i="10" s="1"/>
  <c r="H23" i="10"/>
  <c r="H107" i="6"/>
  <c r="I154" i="6"/>
  <c r="I51" i="3"/>
  <c r="I50" i="3"/>
  <c r="I47" i="3"/>
  <c r="I48" i="3"/>
  <c r="I46" i="3"/>
  <c r="I49" i="3"/>
  <c r="E77" i="2"/>
  <c r="L77" i="2" s="1"/>
  <c r="L26" i="2" s="1"/>
  <c r="M26" i="2"/>
  <c r="F50" i="3"/>
  <c r="F51" i="3"/>
  <c r="F47" i="3"/>
  <c r="F46" i="3"/>
  <c r="F29" i="3"/>
  <c r="F49" i="3"/>
  <c r="J49" i="3" s="1"/>
  <c r="K49" i="3" s="1"/>
  <c r="L49" i="3" s="1"/>
  <c r="F48" i="3"/>
  <c r="J48" i="3" s="1"/>
  <c r="K48" i="3" s="1"/>
  <c r="L48" i="3" s="1"/>
  <c r="E29" i="3"/>
  <c r="G87" i="7"/>
  <c r="G121" i="7" s="1"/>
  <c r="E121" i="7"/>
  <c r="H121" i="7" s="1"/>
  <c r="H87" i="7" s="1"/>
  <c r="J107" i="6"/>
  <c r="F12" i="6"/>
  <c r="F235" i="6"/>
  <c r="F234" i="6"/>
  <c r="F236" i="6"/>
  <c r="F233" i="6"/>
  <c r="F27" i="9"/>
  <c r="F61" i="9" s="1"/>
  <c r="F56" i="7"/>
  <c r="H56" i="7" s="1"/>
  <c r="H26" i="7" s="1"/>
  <c r="E70" i="7" s="1"/>
  <c r="I26" i="7"/>
  <c r="E55" i="9"/>
  <c r="G55" i="9" s="1"/>
  <c r="G25" i="9" s="1"/>
  <c r="I85" i="7"/>
  <c r="E115" i="7"/>
  <c r="H115" i="7" s="1"/>
  <c r="H85" i="7" s="1"/>
  <c r="E129" i="7" s="1"/>
  <c r="E112" i="7"/>
  <c r="H112" i="7" s="1"/>
  <c r="H84" i="7" s="1"/>
  <c r="E128" i="7" s="1"/>
  <c r="I84" i="7"/>
  <c r="F46" i="5"/>
  <c r="F47" i="5"/>
  <c r="F48" i="5"/>
  <c r="F49" i="5"/>
  <c r="F29" i="5"/>
  <c r="F44" i="5"/>
  <c r="F45" i="5"/>
  <c r="G30" i="6"/>
  <c r="G85" i="6" s="1"/>
  <c r="I153" i="5"/>
  <c r="H158" i="5"/>
  <c r="D13" i="5"/>
  <c r="G207" i="6"/>
  <c r="G208" i="6"/>
  <c r="G209" i="6"/>
  <c r="G206" i="6"/>
  <c r="G210" i="6"/>
  <c r="G205" i="6"/>
  <c r="G120" i="4"/>
  <c r="G117" i="4"/>
  <c r="G119" i="4"/>
  <c r="G121" i="4"/>
  <c r="G122" i="4"/>
  <c r="G118" i="4"/>
  <c r="E11" i="5"/>
  <c r="E14" i="5" s="1"/>
  <c r="G13" i="1" s="1"/>
  <c r="J26" i="5"/>
  <c r="G109" i="6"/>
  <c r="G164" i="6" s="1"/>
  <c r="E74" i="2"/>
  <c r="L74" i="2" s="1"/>
  <c r="L25" i="2" s="1"/>
  <c r="H51" i="3"/>
  <c r="H48" i="3"/>
  <c r="H47" i="3"/>
  <c r="H46" i="3"/>
  <c r="H29" i="3"/>
  <c r="H50" i="3"/>
  <c r="H49" i="3"/>
  <c r="G145" i="6"/>
  <c r="G135" i="6"/>
  <c r="G137" i="6"/>
  <c r="G150" i="6"/>
  <c r="G144" i="6"/>
  <c r="G134" i="6"/>
  <c r="G148" i="6"/>
  <c r="G151" i="6"/>
  <c r="G139" i="6"/>
  <c r="G149" i="6"/>
  <c r="H149" i="6" s="1"/>
  <c r="I149" i="6" s="1"/>
  <c r="J149" i="6" s="1"/>
  <c r="G146" i="6"/>
  <c r="G142" i="6"/>
  <c r="G143" i="6"/>
  <c r="G141" i="6"/>
  <c r="H141" i="6" s="1"/>
  <c r="I141" i="6" s="1"/>
  <c r="J141" i="6" s="1"/>
  <c r="G147" i="6"/>
  <c r="H147" i="6" s="1"/>
  <c r="I147" i="6" s="1"/>
  <c r="J147" i="6" s="1"/>
  <c r="G140" i="6"/>
  <c r="G138" i="6"/>
  <c r="G136" i="6"/>
  <c r="H128" i="6"/>
  <c r="I128" i="6" s="1"/>
  <c r="J128" i="6" s="1"/>
  <c r="H266" i="6"/>
  <c r="E298" i="6"/>
  <c r="G298" i="6" s="1"/>
  <c r="G266" i="6" s="1"/>
  <c r="E310" i="6" s="1"/>
  <c r="G46" i="10"/>
  <c r="H46" i="10" s="1"/>
  <c r="I46" i="10" s="1"/>
  <c r="E268" i="6"/>
  <c r="E75" i="6"/>
  <c r="H75" i="6" s="1"/>
  <c r="I28" i="6"/>
  <c r="E77" i="6"/>
  <c r="H77" i="6" s="1"/>
  <c r="I77" i="6" s="1"/>
  <c r="J77" i="6" s="1"/>
  <c r="E76" i="6"/>
  <c r="H76" i="6" s="1"/>
  <c r="I76" i="6" s="1"/>
  <c r="J76" i="6" s="1"/>
  <c r="E78" i="6"/>
  <c r="H78" i="6" s="1"/>
  <c r="I264" i="6"/>
  <c r="H292" i="6"/>
  <c r="G14" i="6"/>
  <c r="G236" i="6"/>
  <c r="G234" i="6"/>
  <c r="G235" i="6"/>
  <c r="G233" i="6"/>
  <c r="E152" i="4"/>
  <c r="H152" i="4" s="1"/>
  <c r="H99" i="4" s="1"/>
  <c r="I99" i="4"/>
  <c r="H75" i="4"/>
  <c r="I75" i="4" s="1"/>
  <c r="J75" i="4" s="1"/>
  <c r="H127" i="6"/>
  <c r="I127" i="6" s="1"/>
  <c r="J127" i="6" s="1"/>
  <c r="G64" i="3"/>
  <c r="G54" i="3"/>
  <c r="G63" i="3"/>
  <c r="G60" i="3"/>
  <c r="G69" i="3"/>
  <c r="G61" i="3"/>
  <c r="G71" i="3"/>
  <c r="G55" i="3"/>
  <c r="G67" i="3"/>
  <c r="G70" i="3"/>
  <c r="G68" i="3"/>
  <c r="G65" i="3"/>
  <c r="G66" i="3"/>
  <c r="G57" i="3"/>
  <c r="G62" i="3"/>
  <c r="G56" i="3"/>
  <c r="G58" i="3"/>
  <c r="G59" i="3"/>
  <c r="E71" i="2"/>
  <c r="E65" i="2"/>
  <c r="E55" i="2"/>
  <c r="E61" i="2"/>
  <c r="E67" i="2"/>
  <c r="E57" i="2"/>
  <c r="E70" i="2"/>
  <c r="E66" i="2"/>
  <c r="E62" i="2"/>
  <c r="E68" i="2"/>
  <c r="E58" i="2"/>
  <c r="E59" i="2"/>
  <c r="E69" i="2"/>
  <c r="E60" i="2"/>
  <c r="M24" i="2"/>
  <c r="E54" i="2"/>
  <c r="E56" i="2"/>
  <c r="E64" i="2"/>
  <c r="E63" i="2"/>
  <c r="E83" i="3"/>
  <c r="I62" i="3"/>
  <c r="I61" i="3"/>
  <c r="I70" i="3"/>
  <c r="I69" i="3"/>
  <c r="I68" i="3"/>
  <c r="I58" i="3"/>
  <c r="I55" i="3"/>
  <c r="I63" i="3"/>
  <c r="I67" i="3"/>
  <c r="I66" i="3"/>
  <c r="I60" i="3"/>
  <c r="I65" i="3"/>
  <c r="I59" i="3"/>
  <c r="I56" i="3"/>
  <c r="I71" i="3"/>
  <c r="I57" i="3"/>
  <c r="I54" i="3"/>
  <c r="I64" i="3"/>
  <c r="K27" i="3"/>
  <c r="E66" i="10"/>
  <c r="G66" i="10" s="1"/>
  <c r="H66" i="10" s="1"/>
  <c r="I66" i="10" s="1"/>
  <c r="E61" i="10"/>
  <c r="G61" i="10" s="1"/>
  <c r="H61" i="10" s="1"/>
  <c r="I61" i="10" s="1"/>
  <c r="E56" i="10"/>
  <c r="G56" i="10" s="1"/>
  <c r="H56" i="10" s="1"/>
  <c r="I56" i="10" s="1"/>
  <c r="E62" i="10"/>
  <c r="G62" i="10" s="1"/>
  <c r="H62" i="10" s="1"/>
  <c r="I62" i="10" s="1"/>
  <c r="E57" i="10"/>
  <c r="G57" i="10" s="1"/>
  <c r="H57" i="10" s="1"/>
  <c r="I57" i="10" s="1"/>
  <c r="E52" i="10"/>
  <c r="G52" i="10" s="1"/>
  <c r="E67" i="10"/>
  <c r="G67" i="10" s="1"/>
  <c r="H67" i="10" s="1"/>
  <c r="I67" i="10" s="1"/>
  <c r="E63" i="10"/>
  <c r="G63" i="10" s="1"/>
  <c r="H63" i="10" s="1"/>
  <c r="I63" i="10" s="1"/>
  <c r="E58" i="10"/>
  <c r="G58" i="10" s="1"/>
  <c r="H58" i="10" s="1"/>
  <c r="I58" i="10" s="1"/>
  <c r="E53" i="10"/>
  <c r="G53" i="10" s="1"/>
  <c r="H53" i="10" s="1"/>
  <c r="I53" i="10" s="1"/>
  <c r="E68" i="10"/>
  <c r="G68" i="10" s="1"/>
  <c r="H68" i="10" s="1"/>
  <c r="I68" i="10" s="1"/>
  <c r="E64" i="10"/>
  <c r="G64" i="10" s="1"/>
  <c r="H64" i="10" s="1"/>
  <c r="I64" i="10" s="1"/>
  <c r="E59" i="10"/>
  <c r="G59" i="10" s="1"/>
  <c r="H59" i="10" s="1"/>
  <c r="I59" i="10" s="1"/>
  <c r="E54" i="10"/>
  <c r="G54" i="10" s="1"/>
  <c r="H54" i="10" s="1"/>
  <c r="I54" i="10" s="1"/>
  <c r="E69" i="10"/>
  <c r="G69" i="10" s="1"/>
  <c r="H24" i="10"/>
  <c r="E55" i="10"/>
  <c r="G55" i="10" s="1"/>
  <c r="H55" i="10" s="1"/>
  <c r="I55" i="10" s="1"/>
  <c r="E65" i="10"/>
  <c r="G65" i="10" s="1"/>
  <c r="H65" i="10" s="1"/>
  <c r="I65" i="10" s="1"/>
  <c r="E60" i="10"/>
  <c r="G60" i="10" s="1"/>
  <c r="H60" i="10" s="1"/>
  <c r="I60" i="10" s="1"/>
  <c r="I161" i="6"/>
  <c r="G12" i="6"/>
  <c r="J108" i="6"/>
  <c r="G48" i="6"/>
  <c r="G52" i="6"/>
  <c r="G47" i="6"/>
  <c r="G50" i="6"/>
  <c r="G31" i="6"/>
  <c r="G51" i="6"/>
  <c r="G49" i="6"/>
  <c r="F119" i="4"/>
  <c r="F122" i="4"/>
  <c r="F101" i="4"/>
  <c r="F117" i="4"/>
  <c r="F118" i="4"/>
  <c r="F121" i="4"/>
  <c r="F120" i="4"/>
  <c r="E53" i="7"/>
  <c r="H53" i="7" s="1"/>
  <c r="H25" i="7" s="1"/>
  <c r="E61" i="9"/>
  <c r="F51" i="8"/>
  <c r="F46" i="8"/>
  <c r="F48" i="8"/>
  <c r="F50" i="8"/>
  <c r="F49" i="8"/>
  <c r="F47" i="8"/>
  <c r="F27" i="10"/>
  <c r="F78" i="10" s="1"/>
  <c r="G289" i="6"/>
  <c r="F48" i="9"/>
  <c r="F47" i="9"/>
  <c r="F45" i="9"/>
  <c r="F44" i="9"/>
  <c r="F49" i="9"/>
  <c r="F46" i="9"/>
  <c r="E47" i="8"/>
  <c r="E48" i="8"/>
  <c r="E49" i="8"/>
  <c r="H23" i="8"/>
  <c r="E46" i="8"/>
  <c r="G46" i="8" s="1"/>
  <c r="E51" i="8"/>
  <c r="G51" i="8" s="1"/>
  <c r="E29" i="8"/>
  <c r="E50" i="8"/>
  <c r="G50" i="8" s="1"/>
  <c r="H50" i="8" s="1"/>
  <c r="I50" i="8" s="1"/>
  <c r="F28" i="8"/>
  <c r="F66" i="8" s="1"/>
  <c r="F88" i="7"/>
  <c r="F105" i="7"/>
  <c r="F108" i="7"/>
  <c r="F104" i="7"/>
  <c r="F107" i="7"/>
  <c r="F106" i="7"/>
  <c r="F109" i="7"/>
  <c r="F60" i="6"/>
  <c r="F72" i="6"/>
  <c r="F67" i="6"/>
  <c r="F61" i="6"/>
  <c r="F68" i="6"/>
  <c r="F62" i="6"/>
  <c r="F55" i="6"/>
  <c r="F70" i="6"/>
  <c r="F58" i="6"/>
  <c r="F59" i="6"/>
  <c r="F57" i="6"/>
  <c r="F65" i="6"/>
  <c r="F66" i="6"/>
  <c r="F64" i="6"/>
  <c r="F63" i="6"/>
  <c r="F69" i="6"/>
  <c r="F71" i="6"/>
  <c r="F56" i="6"/>
  <c r="F227" i="6"/>
  <c r="F219" i="6"/>
  <c r="F216" i="6"/>
  <c r="F230" i="6"/>
  <c r="F228" i="6"/>
  <c r="F225" i="6"/>
  <c r="F222" i="6"/>
  <c r="F215" i="6"/>
  <c r="F226" i="6"/>
  <c r="F229" i="6"/>
  <c r="F213" i="6"/>
  <c r="F214" i="6"/>
  <c r="F221" i="6"/>
  <c r="F224" i="6"/>
  <c r="F217" i="6"/>
  <c r="F223" i="6"/>
  <c r="F220" i="6"/>
  <c r="F218" i="6"/>
  <c r="G188" i="6"/>
  <c r="G243" i="6" s="1"/>
  <c r="J26" i="4"/>
  <c r="F11" i="4"/>
  <c r="H130" i="6"/>
  <c r="I130" i="6" s="1"/>
  <c r="J130" i="6" s="1"/>
  <c r="F49" i="2"/>
  <c r="F29" i="2"/>
  <c r="F50" i="2"/>
  <c r="F46" i="2"/>
  <c r="F47" i="2"/>
  <c r="F51" i="2"/>
  <c r="F48" i="2"/>
  <c r="E66" i="3"/>
  <c r="E56" i="3"/>
  <c r="E65" i="3"/>
  <c r="E55" i="3"/>
  <c r="E62" i="3"/>
  <c r="E60" i="3"/>
  <c r="E68" i="3"/>
  <c r="E67" i="3"/>
  <c r="E61" i="3"/>
  <c r="E64" i="3"/>
  <c r="E58" i="3"/>
  <c r="E57" i="3"/>
  <c r="E70" i="3"/>
  <c r="E59" i="3"/>
  <c r="E71" i="3"/>
  <c r="E69" i="3"/>
  <c r="E54" i="3"/>
  <c r="K24" i="3"/>
  <c r="E63" i="3"/>
  <c r="J80" i="3"/>
  <c r="J27" i="3" s="1"/>
  <c r="H174" i="5"/>
  <c r="J105" i="6"/>
  <c r="D12" i="6"/>
  <c r="H26" i="9"/>
  <c r="E58" i="9"/>
  <c r="G58" i="9" s="1"/>
  <c r="G26" i="9" s="1"/>
  <c r="E70" i="9" s="1"/>
  <c r="H26" i="8"/>
  <c r="E60" i="8"/>
  <c r="G60" i="8" s="1"/>
  <c r="G26" i="8" s="1"/>
  <c r="I95" i="5"/>
  <c r="H123" i="5"/>
  <c r="G12" i="5"/>
  <c r="E74" i="3"/>
  <c r="J74" i="3" s="1"/>
  <c r="J25" i="3" s="1"/>
  <c r="J47" i="3"/>
  <c r="K47" i="3" s="1"/>
  <c r="L47" i="3" s="1"/>
  <c r="J29" i="2"/>
  <c r="E45" i="7"/>
  <c r="H45" i="7" s="1"/>
  <c r="E48" i="7"/>
  <c r="H48" i="7" s="1"/>
  <c r="I48" i="7" s="1"/>
  <c r="J48" i="7" s="1"/>
  <c r="E29" i="7"/>
  <c r="E50" i="7"/>
  <c r="H50" i="7" s="1"/>
  <c r="E47" i="7"/>
  <c r="H47" i="7" s="1"/>
  <c r="I47" i="7" s="1"/>
  <c r="J47" i="7" s="1"/>
  <c r="I24" i="7"/>
  <c r="E49" i="7"/>
  <c r="H49" i="7" s="1"/>
  <c r="I49" i="7" s="1"/>
  <c r="J49" i="7" s="1"/>
  <c r="E46" i="7"/>
  <c r="H46" i="7" s="1"/>
  <c r="I46" i="7" s="1"/>
  <c r="J46" i="7" s="1"/>
  <c r="G70" i="6"/>
  <c r="G61" i="6"/>
  <c r="G68" i="6"/>
  <c r="G62" i="6"/>
  <c r="G55" i="6"/>
  <c r="G69" i="6"/>
  <c r="G56" i="6"/>
  <c r="G64" i="6"/>
  <c r="G57" i="6"/>
  <c r="G65" i="6"/>
  <c r="G60" i="6"/>
  <c r="G71" i="6"/>
  <c r="G66" i="6"/>
  <c r="G63" i="6"/>
  <c r="G58" i="6"/>
  <c r="G72" i="6"/>
  <c r="G67" i="6"/>
  <c r="G59" i="6"/>
  <c r="G28" i="7"/>
  <c r="E120" i="5"/>
  <c r="G120" i="5" s="1"/>
  <c r="E115" i="5"/>
  <c r="G115" i="5" s="1"/>
  <c r="E119" i="5"/>
  <c r="G119" i="5" s="1"/>
  <c r="H119" i="5" s="1"/>
  <c r="I119" i="5" s="1"/>
  <c r="E116" i="5"/>
  <c r="G116" i="5" s="1"/>
  <c r="H116" i="5" s="1"/>
  <c r="I116" i="5" s="1"/>
  <c r="E99" i="5"/>
  <c r="E117" i="5"/>
  <c r="G117" i="5" s="1"/>
  <c r="H117" i="5" s="1"/>
  <c r="I117" i="5" s="1"/>
  <c r="F98" i="5"/>
  <c r="F132" i="5" s="1"/>
  <c r="E118" i="5"/>
  <c r="G118" i="5" s="1"/>
  <c r="H118" i="5" s="1"/>
  <c r="I118" i="5" s="1"/>
  <c r="H94" i="5"/>
  <c r="G110" i="6"/>
  <c r="I109" i="6"/>
  <c r="I110" i="6" s="1"/>
  <c r="F164" i="6"/>
  <c r="H164" i="6" s="1"/>
  <c r="H109" i="6" s="1"/>
  <c r="E173" i="6" s="1"/>
  <c r="F64" i="4"/>
  <c r="F54" i="4"/>
  <c r="H54" i="4" s="1"/>
  <c r="I54" i="4" s="1"/>
  <c r="J54" i="4" s="1"/>
  <c r="F57" i="4"/>
  <c r="H57" i="4" s="1"/>
  <c r="I57" i="4" s="1"/>
  <c r="J57" i="4" s="1"/>
  <c r="F69" i="4"/>
  <c r="F66" i="4"/>
  <c r="F59" i="4"/>
  <c r="F62" i="4"/>
  <c r="H62" i="4" s="1"/>
  <c r="I62" i="4" s="1"/>
  <c r="J62" i="4" s="1"/>
  <c r="F53" i="4"/>
  <c r="F61" i="4"/>
  <c r="H61" i="4" s="1"/>
  <c r="I61" i="4" s="1"/>
  <c r="J61" i="4" s="1"/>
  <c r="F56" i="4"/>
  <c r="H56" i="4" s="1"/>
  <c r="I56" i="4" s="1"/>
  <c r="J56" i="4" s="1"/>
  <c r="F65" i="4"/>
  <c r="F63" i="4"/>
  <c r="H63" i="4" s="1"/>
  <c r="I63" i="4" s="1"/>
  <c r="J63" i="4" s="1"/>
  <c r="F60" i="4"/>
  <c r="H60" i="4" s="1"/>
  <c r="I60" i="4" s="1"/>
  <c r="J60" i="4" s="1"/>
  <c r="F55" i="4"/>
  <c r="H55" i="4" s="1"/>
  <c r="I55" i="4" s="1"/>
  <c r="J55" i="4" s="1"/>
  <c r="F70" i="4"/>
  <c r="F29" i="4"/>
  <c r="F67" i="4"/>
  <c r="H67" i="4" s="1"/>
  <c r="I67" i="4" s="1"/>
  <c r="J67" i="4" s="1"/>
  <c r="F58" i="4"/>
  <c r="F68" i="4"/>
  <c r="H68" i="4" s="1"/>
  <c r="I68" i="4" s="1"/>
  <c r="J68" i="4" s="1"/>
  <c r="I26" i="10"/>
  <c r="H75" i="10"/>
  <c r="H11" i="10"/>
  <c r="H12" i="10" s="1"/>
  <c r="E69" i="6"/>
  <c r="E59" i="6"/>
  <c r="E66" i="6"/>
  <c r="E72" i="6"/>
  <c r="E67" i="6"/>
  <c r="E61" i="6"/>
  <c r="I27" i="6"/>
  <c r="E68" i="6"/>
  <c r="E63" i="6"/>
  <c r="E57" i="6"/>
  <c r="E64" i="6"/>
  <c r="E62" i="6"/>
  <c r="E70" i="6"/>
  <c r="E71" i="6"/>
  <c r="E60" i="6"/>
  <c r="E56" i="6"/>
  <c r="H56" i="6" s="1"/>
  <c r="I56" i="6" s="1"/>
  <c r="J56" i="6" s="1"/>
  <c r="E58" i="6"/>
  <c r="E55" i="6"/>
  <c r="H55" i="6" s="1"/>
  <c r="E65" i="6"/>
  <c r="G228" i="6"/>
  <c r="G220" i="6"/>
  <c r="G223" i="6"/>
  <c r="G226" i="6"/>
  <c r="G217" i="6"/>
  <c r="G218" i="6"/>
  <c r="G215" i="6"/>
  <c r="G219" i="6"/>
  <c r="G216" i="6"/>
  <c r="G229" i="6"/>
  <c r="G213" i="6"/>
  <c r="G227" i="6"/>
  <c r="G224" i="6"/>
  <c r="G221" i="6"/>
  <c r="G225" i="6"/>
  <c r="G230" i="6"/>
  <c r="G214" i="6"/>
  <c r="G222" i="6"/>
  <c r="E233" i="6"/>
  <c r="H233" i="6" s="1"/>
  <c r="E235" i="6"/>
  <c r="H235" i="6" s="1"/>
  <c r="I235" i="6" s="1"/>
  <c r="J235" i="6" s="1"/>
  <c r="E236" i="6"/>
  <c r="H236" i="6" s="1"/>
  <c r="E234" i="6"/>
  <c r="I186" i="6"/>
  <c r="H74" i="4"/>
  <c r="F145" i="4"/>
  <c r="F146" i="4"/>
  <c r="F147" i="4"/>
  <c r="F148" i="4"/>
  <c r="H148" i="4" s="1"/>
  <c r="H72" i="10"/>
  <c r="G11" i="10"/>
  <c r="G12" i="10" s="1"/>
  <c r="G286" i="6"/>
  <c r="H286" i="6" s="1"/>
  <c r="I286" i="6" s="1"/>
  <c r="H24" i="8"/>
  <c r="E54" i="8"/>
  <c r="G54" i="8" s="1"/>
  <c r="G24" i="8" s="1"/>
  <c r="E73" i="8" s="1"/>
  <c r="F123" i="5"/>
  <c r="G123" i="5" s="1"/>
  <c r="G95" i="5" s="1"/>
  <c r="E139" i="5" s="1"/>
  <c r="F99" i="5"/>
  <c r="I30" i="6"/>
  <c r="E85" i="6"/>
  <c r="H85" i="6" s="1"/>
  <c r="H30" i="6" s="1"/>
  <c r="E94" i="6" s="1"/>
  <c r="E240" i="6"/>
  <c r="H240" i="6" s="1"/>
  <c r="H187" i="6" s="1"/>
  <c r="E251" i="6" s="1"/>
  <c r="I187" i="6"/>
  <c r="E227" i="6"/>
  <c r="E218" i="6"/>
  <c r="E222" i="6"/>
  <c r="E225" i="6"/>
  <c r="E221" i="6"/>
  <c r="E215" i="6"/>
  <c r="E229" i="6"/>
  <c r="E214" i="6"/>
  <c r="E230" i="6"/>
  <c r="E228" i="6"/>
  <c r="E219" i="6"/>
  <c r="E223" i="6"/>
  <c r="E220" i="6"/>
  <c r="E217" i="6"/>
  <c r="E224" i="6"/>
  <c r="I185" i="6"/>
  <c r="E226" i="6"/>
  <c r="E216" i="6"/>
  <c r="E213" i="6"/>
  <c r="G147" i="4"/>
  <c r="G145" i="4"/>
  <c r="G146" i="4"/>
  <c r="H146" i="4" s="1"/>
  <c r="I146" i="4" s="1"/>
  <c r="J146" i="4" s="1"/>
  <c r="G148" i="4"/>
  <c r="H185" i="5"/>
  <c r="I155" i="5"/>
  <c r="H13" i="5"/>
  <c r="I97" i="5"/>
  <c r="H129" i="5"/>
  <c r="I12" i="5"/>
  <c r="I98" i="4"/>
  <c r="E28" i="10"/>
  <c r="F267" i="6"/>
  <c r="E52" i="9"/>
  <c r="G52" i="9" s="1"/>
  <c r="G24" i="9" s="1"/>
  <c r="E68" i="9" s="1"/>
  <c r="H24" i="9"/>
  <c r="H140" i="6"/>
  <c r="I140" i="6" s="1"/>
  <c r="J140" i="6" s="1"/>
  <c r="H151" i="6"/>
  <c r="E126" i="5"/>
  <c r="G126" i="5" s="1"/>
  <c r="G96" i="5" s="1"/>
  <c r="E140" i="5" s="1"/>
  <c r="H96" i="5"/>
  <c r="G104" i="7"/>
  <c r="G106" i="7"/>
  <c r="G109" i="7"/>
  <c r="G107" i="7"/>
  <c r="G108" i="7"/>
  <c r="G88" i="7"/>
  <c r="G105" i="7"/>
  <c r="E72" i="5"/>
  <c r="H72" i="5" s="1"/>
  <c r="H27" i="5" s="1"/>
  <c r="E82" i="5" s="1"/>
  <c r="I27" i="5"/>
  <c r="E45" i="5"/>
  <c r="E49" i="5"/>
  <c r="E46" i="5"/>
  <c r="E29" i="5"/>
  <c r="E47" i="5"/>
  <c r="E44" i="5"/>
  <c r="E48" i="5"/>
  <c r="G179" i="5"/>
  <c r="G153" i="5" s="1"/>
  <c r="G28" i="5"/>
  <c r="G75" i="5" s="1"/>
  <c r="E31" i="6"/>
  <c r="E51" i="6"/>
  <c r="H51" i="6" s="1"/>
  <c r="I51" i="6" s="1"/>
  <c r="J51" i="6" s="1"/>
  <c r="E52" i="6"/>
  <c r="H52" i="6" s="1"/>
  <c r="E47" i="6"/>
  <c r="E48" i="6"/>
  <c r="H48" i="6" s="1"/>
  <c r="I48" i="6" s="1"/>
  <c r="J48" i="6" s="1"/>
  <c r="E50" i="6"/>
  <c r="H50" i="6" s="1"/>
  <c r="I50" i="6" s="1"/>
  <c r="J50" i="6" s="1"/>
  <c r="I26" i="6"/>
  <c r="E49" i="6"/>
  <c r="H49" i="6" s="1"/>
  <c r="I49" i="6" s="1"/>
  <c r="J49" i="6" s="1"/>
  <c r="E243" i="6"/>
  <c r="H243" i="6" s="1"/>
  <c r="H188" i="6" s="1"/>
  <c r="E252" i="6" s="1"/>
  <c r="I188" i="6"/>
  <c r="F132" i="4"/>
  <c r="F142" i="4"/>
  <c r="H142" i="4" s="1"/>
  <c r="F131" i="4"/>
  <c r="H131" i="4" s="1"/>
  <c r="I131" i="4" s="1"/>
  <c r="J131" i="4" s="1"/>
  <c r="F137" i="4"/>
  <c r="H137" i="4" s="1"/>
  <c r="I137" i="4" s="1"/>
  <c r="J137" i="4" s="1"/>
  <c r="F125" i="4"/>
  <c r="H125" i="4" s="1"/>
  <c r="F135" i="4"/>
  <c r="H135" i="4" s="1"/>
  <c r="I135" i="4" s="1"/>
  <c r="J135" i="4" s="1"/>
  <c r="F129" i="4"/>
  <c r="H129" i="4" s="1"/>
  <c r="I129" i="4" s="1"/>
  <c r="J129" i="4" s="1"/>
  <c r="F136" i="4"/>
  <c r="F139" i="4"/>
  <c r="F128" i="4"/>
  <c r="F134" i="4"/>
  <c r="F138" i="4"/>
  <c r="F127" i="4"/>
  <c r="F133" i="4"/>
  <c r="H133" i="4" s="1"/>
  <c r="I133" i="4" s="1"/>
  <c r="J133" i="4" s="1"/>
  <c r="F141" i="4"/>
  <c r="H141" i="4" s="1"/>
  <c r="I141" i="4" s="1"/>
  <c r="J141" i="4" s="1"/>
  <c r="F126" i="4"/>
  <c r="H126" i="4" s="1"/>
  <c r="I126" i="4" s="1"/>
  <c r="J126" i="4" s="1"/>
  <c r="F140" i="4"/>
  <c r="F130" i="4"/>
  <c r="H130" i="4" s="1"/>
  <c r="I130" i="4" s="1"/>
  <c r="J130" i="4" s="1"/>
  <c r="H126" i="6"/>
  <c r="K71" i="2"/>
  <c r="K63" i="2"/>
  <c r="K70" i="2"/>
  <c r="K59" i="2"/>
  <c r="K65" i="2"/>
  <c r="K55" i="2"/>
  <c r="K64" i="2"/>
  <c r="K69" i="2"/>
  <c r="K62" i="2"/>
  <c r="K61" i="2"/>
  <c r="K67" i="2"/>
  <c r="K57" i="2"/>
  <c r="K66" i="2"/>
  <c r="K60" i="2"/>
  <c r="K68" i="2"/>
  <c r="K58" i="2"/>
  <c r="K54" i="2"/>
  <c r="K56" i="2"/>
  <c r="G28" i="4"/>
  <c r="I59" i="7"/>
  <c r="I11" i="7"/>
  <c r="J27" i="7"/>
  <c r="E49" i="9"/>
  <c r="G49" i="9" s="1"/>
  <c r="E44" i="9"/>
  <c r="E45" i="9"/>
  <c r="G45" i="9" s="1"/>
  <c r="H45" i="9" s="1"/>
  <c r="I45" i="9" s="1"/>
  <c r="E46" i="9"/>
  <c r="G46" i="9" s="1"/>
  <c r="H46" i="9" s="1"/>
  <c r="I46" i="9" s="1"/>
  <c r="H23" i="9"/>
  <c r="E47" i="9"/>
  <c r="G47" i="9" s="1"/>
  <c r="H47" i="9" s="1"/>
  <c r="I47" i="9" s="1"/>
  <c r="E28" i="9"/>
  <c r="E48" i="9"/>
  <c r="G48" i="9" s="1"/>
  <c r="H48" i="9" s="1"/>
  <c r="I48" i="9" s="1"/>
  <c r="H28" i="8"/>
  <c r="E66" i="8"/>
  <c r="G66" i="8" s="1"/>
  <c r="G28" i="8" s="1"/>
  <c r="H295" i="6"/>
  <c r="I265" i="6"/>
  <c r="H14" i="6"/>
  <c r="H15" i="6" s="1"/>
  <c r="H134" i="6"/>
  <c r="H98" i="5"/>
  <c r="E132" i="5"/>
  <c r="G132" i="5" s="1"/>
  <c r="G98" i="5" s="1"/>
  <c r="I86" i="7"/>
  <c r="E118" i="7"/>
  <c r="H118" i="7" s="1"/>
  <c r="H86" i="7" s="1"/>
  <c r="E130" i="7" s="1"/>
  <c r="E104" i="7"/>
  <c r="H104" i="7" s="1"/>
  <c r="E107" i="7"/>
  <c r="H107" i="7" s="1"/>
  <c r="I107" i="7" s="1"/>
  <c r="J107" i="7" s="1"/>
  <c r="E105" i="7"/>
  <c r="H105" i="7" s="1"/>
  <c r="I105" i="7" s="1"/>
  <c r="J105" i="7" s="1"/>
  <c r="E109" i="7"/>
  <c r="E88" i="7"/>
  <c r="I83" i="7"/>
  <c r="E108" i="7"/>
  <c r="E106" i="7"/>
  <c r="H106" i="7" s="1"/>
  <c r="I106" i="7" s="1"/>
  <c r="J106" i="7" s="1"/>
  <c r="F29" i="7"/>
  <c r="G47" i="5"/>
  <c r="G44" i="5"/>
  <c r="G46" i="5"/>
  <c r="G48" i="5"/>
  <c r="G45" i="5"/>
  <c r="G49" i="5"/>
  <c r="G68" i="5"/>
  <c r="H68" i="5" s="1"/>
  <c r="I68" i="5" s="1"/>
  <c r="J68" i="5" s="1"/>
  <c r="G60" i="5"/>
  <c r="H60" i="5" s="1"/>
  <c r="I60" i="5" s="1"/>
  <c r="J60" i="5" s="1"/>
  <c r="G67" i="5"/>
  <c r="H67" i="5" s="1"/>
  <c r="I67" i="5" s="1"/>
  <c r="J67" i="5" s="1"/>
  <c r="G62" i="5"/>
  <c r="H62" i="5" s="1"/>
  <c r="I62" i="5" s="1"/>
  <c r="J62" i="5" s="1"/>
  <c r="G56" i="5"/>
  <c r="H56" i="5" s="1"/>
  <c r="I56" i="5" s="1"/>
  <c r="J56" i="5" s="1"/>
  <c r="G63" i="5"/>
  <c r="H63" i="5" s="1"/>
  <c r="I63" i="5" s="1"/>
  <c r="J63" i="5" s="1"/>
  <c r="G64" i="5"/>
  <c r="H64" i="5" s="1"/>
  <c r="I64" i="5" s="1"/>
  <c r="J64" i="5" s="1"/>
  <c r="G52" i="5"/>
  <c r="H52" i="5" s="1"/>
  <c r="G65" i="5"/>
  <c r="H65" i="5" s="1"/>
  <c r="I65" i="5" s="1"/>
  <c r="J65" i="5" s="1"/>
  <c r="G54" i="5"/>
  <c r="H54" i="5" s="1"/>
  <c r="I54" i="5" s="1"/>
  <c r="J54" i="5" s="1"/>
  <c r="G58" i="5"/>
  <c r="H58" i="5" s="1"/>
  <c r="I58" i="5" s="1"/>
  <c r="J58" i="5" s="1"/>
  <c r="G55" i="5"/>
  <c r="H55" i="5" s="1"/>
  <c r="I55" i="5" s="1"/>
  <c r="J55" i="5" s="1"/>
  <c r="G66" i="5"/>
  <c r="H66" i="5" s="1"/>
  <c r="I66" i="5" s="1"/>
  <c r="J66" i="5" s="1"/>
  <c r="G61" i="5"/>
  <c r="H61" i="5" s="1"/>
  <c r="I61" i="5" s="1"/>
  <c r="J61" i="5" s="1"/>
  <c r="G57" i="5"/>
  <c r="H57" i="5" s="1"/>
  <c r="I57" i="5" s="1"/>
  <c r="J57" i="5" s="1"/>
  <c r="G59" i="5"/>
  <c r="H59" i="5" s="1"/>
  <c r="I59" i="5" s="1"/>
  <c r="J59" i="5" s="1"/>
  <c r="G53" i="5"/>
  <c r="H53" i="5" s="1"/>
  <c r="I53" i="5" s="1"/>
  <c r="J53" i="5" s="1"/>
  <c r="G69" i="5"/>
  <c r="H69" i="5" s="1"/>
  <c r="I29" i="6"/>
  <c r="E82" i="6"/>
  <c r="H82" i="6" s="1"/>
  <c r="H29" i="6" s="1"/>
  <c r="E93" i="6" s="1"/>
  <c r="E205" i="6"/>
  <c r="H205" i="6" s="1"/>
  <c r="E207" i="6"/>
  <c r="H207" i="6" s="1"/>
  <c r="I207" i="6" s="1"/>
  <c r="J207" i="6" s="1"/>
  <c r="I184" i="6"/>
  <c r="E209" i="6"/>
  <c r="H209" i="6" s="1"/>
  <c r="I209" i="6" s="1"/>
  <c r="J209" i="6" s="1"/>
  <c r="E210" i="6"/>
  <c r="H210" i="6" s="1"/>
  <c r="E189" i="6"/>
  <c r="E208" i="6"/>
  <c r="H208" i="6" s="1"/>
  <c r="I208" i="6" s="1"/>
  <c r="J208" i="6" s="1"/>
  <c r="E206" i="6"/>
  <c r="G100" i="4"/>
  <c r="G101" i="4" s="1"/>
  <c r="I156" i="5"/>
  <c r="H188" i="5"/>
  <c r="I13" i="5"/>
  <c r="H131" i="6"/>
  <c r="I97" i="4"/>
  <c r="F65" i="3"/>
  <c r="F55" i="3"/>
  <c r="F64" i="3"/>
  <c r="F54" i="3"/>
  <c r="F61" i="3"/>
  <c r="F68" i="3"/>
  <c r="F67" i="3"/>
  <c r="F66" i="3"/>
  <c r="F69" i="3"/>
  <c r="F70" i="3"/>
  <c r="F62" i="3"/>
  <c r="F59" i="3"/>
  <c r="F60" i="3"/>
  <c r="F58" i="3"/>
  <c r="F63" i="3"/>
  <c r="F56" i="3"/>
  <c r="F71" i="3"/>
  <c r="F57" i="3"/>
  <c r="I28" i="3"/>
  <c r="I83" i="3" s="1"/>
  <c r="K23" i="3"/>
  <c r="H138" i="4" l="1"/>
  <c r="I138" i="4" s="1"/>
  <c r="J138" i="4" s="1"/>
  <c r="H47" i="4"/>
  <c r="I47" i="4" s="1"/>
  <c r="J47" i="4" s="1"/>
  <c r="H45" i="4"/>
  <c r="H53" i="4"/>
  <c r="I53" i="4" s="1"/>
  <c r="H134" i="4"/>
  <c r="I134" i="4" s="1"/>
  <c r="J134" i="4" s="1"/>
  <c r="H145" i="4"/>
  <c r="I145" i="4" s="1"/>
  <c r="J24" i="4"/>
  <c r="H58" i="4"/>
  <c r="I58" i="4" s="1"/>
  <c r="J58" i="4" s="1"/>
  <c r="H132" i="4"/>
  <c r="I132" i="4" s="1"/>
  <c r="J132" i="4" s="1"/>
  <c r="H127" i="4"/>
  <c r="I127" i="4" s="1"/>
  <c r="J127" i="4" s="1"/>
  <c r="H147" i="4"/>
  <c r="I147" i="4" s="1"/>
  <c r="J147" i="4" s="1"/>
  <c r="H69" i="4"/>
  <c r="I69" i="4" s="1"/>
  <c r="J69" i="4" s="1"/>
  <c r="I45" i="4"/>
  <c r="I50" i="4" s="1"/>
  <c r="J50" i="4" s="1"/>
  <c r="H128" i="4"/>
  <c r="I128" i="4" s="1"/>
  <c r="J128" i="4" s="1"/>
  <c r="H59" i="4"/>
  <c r="I59" i="4" s="1"/>
  <c r="J59" i="4" s="1"/>
  <c r="H139" i="4"/>
  <c r="I139" i="4" s="1"/>
  <c r="J139" i="4" s="1"/>
  <c r="H70" i="4"/>
  <c r="H66" i="4"/>
  <c r="I66" i="4" s="1"/>
  <c r="J66" i="4" s="1"/>
  <c r="H140" i="4"/>
  <c r="I140" i="4" s="1"/>
  <c r="J140" i="4" s="1"/>
  <c r="H65" i="4"/>
  <c r="I65" i="4" s="1"/>
  <c r="J65" i="4" s="1"/>
  <c r="H64" i="4"/>
  <c r="I64" i="4" s="1"/>
  <c r="J64" i="4" s="1"/>
  <c r="H136" i="4"/>
  <c r="I136" i="4" s="1"/>
  <c r="J136" i="4" s="1"/>
  <c r="H50" i="4"/>
  <c r="H24" i="4" s="1"/>
  <c r="H224" i="6"/>
  <c r="I224" i="6" s="1"/>
  <c r="J224" i="6" s="1"/>
  <c r="H221" i="6"/>
  <c r="I221" i="6" s="1"/>
  <c r="J221" i="6" s="1"/>
  <c r="H48" i="5"/>
  <c r="I48" i="5" s="1"/>
  <c r="J48" i="5" s="1"/>
  <c r="H45" i="5"/>
  <c r="I45" i="5" s="1"/>
  <c r="J45" i="5" s="1"/>
  <c r="H58" i="6"/>
  <c r="I58" i="6" s="1"/>
  <c r="J58" i="6" s="1"/>
  <c r="H143" i="6"/>
  <c r="I143" i="6" s="1"/>
  <c r="J143" i="6" s="1"/>
  <c r="H72" i="6"/>
  <c r="K29" i="2"/>
  <c r="H228" i="6"/>
  <c r="I228" i="6" s="1"/>
  <c r="J228" i="6" s="1"/>
  <c r="E69" i="7"/>
  <c r="H148" i="6"/>
  <c r="I148" i="6" s="1"/>
  <c r="J148" i="6" s="1"/>
  <c r="E69" i="9"/>
  <c r="J50" i="3"/>
  <c r="K50" i="3" s="1"/>
  <c r="L50" i="3" s="1"/>
  <c r="H138" i="6"/>
  <c r="I138" i="6" s="1"/>
  <c r="J138" i="6" s="1"/>
  <c r="H68" i="6"/>
  <c r="I68" i="6" s="1"/>
  <c r="J68" i="6" s="1"/>
  <c r="J60" i="3"/>
  <c r="K60" i="3" s="1"/>
  <c r="L60" i="3" s="1"/>
  <c r="H217" i="6"/>
  <c r="I217" i="6" s="1"/>
  <c r="J217" i="6" s="1"/>
  <c r="H225" i="6"/>
  <c r="I225" i="6" s="1"/>
  <c r="J225" i="6" s="1"/>
  <c r="H67" i="6"/>
  <c r="I67" i="6" s="1"/>
  <c r="J67" i="6" s="1"/>
  <c r="H66" i="6"/>
  <c r="I66" i="6" s="1"/>
  <c r="J66" i="6" s="1"/>
  <c r="G29" i="5"/>
  <c r="H227" i="6"/>
  <c r="I227" i="6" s="1"/>
  <c r="J227" i="6" s="1"/>
  <c r="F28" i="9"/>
  <c r="H145" i="6"/>
  <c r="I145" i="6" s="1"/>
  <c r="J145" i="6" s="1"/>
  <c r="L70" i="2"/>
  <c r="M70" i="2" s="1"/>
  <c r="N70" i="2" s="1"/>
  <c r="M28" i="2"/>
  <c r="M29" i="2" s="1"/>
  <c r="J54" i="3"/>
  <c r="H150" i="6"/>
  <c r="I150" i="6" s="1"/>
  <c r="J150" i="6" s="1"/>
  <c r="H136" i="6"/>
  <c r="I136" i="6" s="1"/>
  <c r="J136" i="6" s="1"/>
  <c r="L83" i="2"/>
  <c r="L28" i="2" s="1"/>
  <c r="H215" i="6"/>
  <c r="I215" i="6" s="1"/>
  <c r="J215" i="6" s="1"/>
  <c r="J62" i="3"/>
  <c r="K62" i="3" s="1"/>
  <c r="L62" i="3" s="1"/>
  <c r="J51" i="3"/>
  <c r="H27" i="10"/>
  <c r="H28" i="10" s="1"/>
  <c r="J59" i="3"/>
  <c r="K59" i="3" s="1"/>
  <c r="L59" i="3" s="1"/>
  <c r="J55" i="3"/>
  <c r="K55" i="3" s="1"/>
  <c r="L55" i="3" s="1"/>
  <c r="G78" i="10"/>
  <c r="G27" i="10" s="1"/>
  <c r="H220" i="6"/>
  <c r="I220" i="6" s="1"/>
  <c r="J220" i="6" s="1"/>
  <c r="J70" i="3"/>
  <c r="K70" i="3" s="1"/>
  <c r="L70" i="3" s="1"/>
  <c r="J65" i="3"/>
  <c r="K65" i="3" s="1"/>
  <c r="L65" i="3" s="1"/>
  <c r="F29" i="8"/>
  <c r="H223" i="6"/>
  <c r="I223" i="6" s="1"/>
  <c r="J223" i="6" s="1"/>
  <c r="H139" i="6"/>
  <c r="I139" i="6" s="1"/>
  <c r="J139" i="6" s="1"/>
  <c r="H142" i="6"/>
  <c r="I142" i="6" s="1"/>
  <c r="J142" i="6" s="1"/>
  <c r="H144" i="6"/>
  <c r="I144" i="6" s="1"/>
  <c r="J144" i="6" s="1"/>
  <c r="L66" i="2"/>
  <c r="M66" i="2" s="1"/>
  <c r="N66" i="2" s="1"/>
  <c r="L12" i="6"/>
  <c r="C111" i="6"/>
  <c r="H44" i="10"/>
  <c r="G23" i="10"/>
  <c r="H98" i="4"/>
  <c r="I104" i="7"/>
  <c r="H83" i="7"/>
  <c r="H66" i="8"/>
  <c r="I28" i="8"/>
  <c r="K11" i="8"/>
  <c r="K12" i="8" s="1"/>
  <c r="J16" i="1" s="1"/>
  <c r="H222" i="6"/>
  <c r="I222" i="6" s="1"/>
  <c r="J222" i="6" s="1"/>
  <c r="H60" i="6"/>
  <c r="I60" i="6" s="1"/>
  <c r="J60" i="6" s="1"/>
  <c r="G83" i="4"/>
  <c r="H83" i="4" s="1"/>
  <c r="H28" i="4" s="1"/>
  <c r="I28" i="4"/>
  <c r="I29" i="4" s="1"/>
  <c r="G29" i="4"/>
  <c r="I24" i="9"/>
  <c r="H52" i="9"/>
  <c r="G11" i="9"/>
  <c r="G12" i="9" s="1"/>
  <c r="J98" i="4"/>
  <c r="F12" i="4"/>
  <c r="H219" i="6"/>
  <c r="I219" i="6" s="1"/>
  <c r="J219" i="6" s="1"/>
  <c r="I74" i="4"/>
  <c r="H26" i="4"/>
  <c r="H70" i="6"/>
  <c r="I70" i="6" s="1"/>
  <c r="J70" i="6" s="1"/>
  <c r="J154" i="6"/>
  <c r="L46" i="2"/>
  <c r="D12" i="4"/>
  <c r="D13" i="4" s="1"/>
  <c r="F12" i="1" s="1"/>
  <c r="J96" i="4"/>
  <c r="E13" i="6"/>
  <c r="J185" i="6"/>
  <c r="D11" i="5"/>
  <c r="I125" i="4"/>
  <c r="I189" i="6"/>
  <c r="J184" i="6"/>
  <c r="D13" i="6"/>
  <c r="I12" i="7"/>
  <c r="I118" i="7"/>
  <c r="J86" i="7"/>
  <c r="D11" i="6"/>
  <c r="D15" i="6" s="1"/>
  <c r="F14" i="1" s="1"/>
  <c r="J26" i="6"/>
  <c r="I31" i="6"/>
  <c r="H218" i="6"/>
  <c r="I218" i="6" s="1"/>
  <c r="J218" i="6" s="1"/>
  <c r="H71" i="6"/>
  <c r="I71" i="6" s="1"/>
  <c r="J71" i="6" s="1"/>
  <c r="J24" i="7"/>
  <c r="D11" i="7"/>
  <c r="H58" i="9"/>
  <c r="I11" i="9"/>
  <c r="I12" i="9" s="1"/>
  <c r="I26" i="9"/>
  <c r="J63" i="3"/>
  <c r="K63" i="3" s="1"/>
  <c r="L63" i="3" s="1"/>
  <c r="J61" i="3"/>
  <c r="K61" i="3" s="1"/>
  <c r="L61" i="3" s="1"/>
  <c r="G47" i="8"/>
  <c r="H47" i="8" s="1"/>
  <c r="I47" i="8" s="1"/>
  <c r="G11" i="7"/>
  <c r="I53" i="7"/>
  <c r="L68" i="2"/>
  <c r="M68" i="2" s="1"/>
  <c r="N68" i="2" s="1"/>
  <c r="H293" i="6"/>
  <c r="I292" i="6"/>
  <c r="I266" i="6"/>
  <c r="I14" i="6"/>
  <c r="H298" i="6"/>
  <c r="H11" i="2"/>
  <c r="H12" i="2" s="1"/>
  <c r="N26" i="2"/>
  <c r="M77" i="2"/>
  <c r="G263" i="6"/>
  <c r="H284" i="6"/>
  <c r="H146" i="6"/>
  <c r="I146" i="6" s="1"/>
  <c r="J146" i="6" s="1"/>
  <c r="L50" i="2"/>
  <c r="M50" i="2" s="1"/>
  <c r="N50" i="2" s="1"/>
  <c r="H120" i="4"/>
  <c r="I120" i="4" s="1"/>
  <c r="J120" i="4" s="1"/>
  <c r="J57" i="3"/>
  <c r="K57" i="3" s="1"/>
  <c r="L57" i="3" s="1"/>
  <c r="J56" i="3"/>
  <c r="K56" i="3" s="1"/>
  <c r="L56" i="3" s="1"/>
  <c r="H29" i="8"/>
  <c r="D11" i="8"/>
  <c r="D12" i="8" s="1"/>
  <c r="F16" i="1" s="1"/>
  <c r="I23" i="8"/>
  <c r="L69" i="2"/>
  <c r="M69" i="2" s="1"/>
  <c r="N69" i="2" s="1"/>
  <c r="L55" i="2"/>
  <c r="M55" i="2" s="1"/>
  <c r="N55" i="2" s="1"/>
  <c r="I188" i="5"/>
  <c r="H189" i="5"/>
  <c r="I205" i="6"/>
  <c r="H108" i="7"/>
  <c r="I108" i="7" s="1"/>
  <c r="J108" i="7" s="1"/>
  <c r="H132" i="5"/>
  <c r="I98" i="5"/>
  <c r="K12" i="5"/>
  <c r="K14" i="5" s="1"/>
  <c r="J13" i="1" s="1"/>
  <c r="I23" i="9"/>
  <c r="D11" i="9"/>
  <c r="D12" i="9" s="1"/>
  <c r="F17" i="1" s="1"/>
  <c r="H47" i="5"/>
  <c r="I47" i="5" s="1"/>
  <c r="J47" i="5" s="1"/>
  <c r="I240" i="6"/>
  <c r="G13" i="6"/>
  <c r="J187" i="6"/>
  <c r="H54" i="8"/>
  <c r="I24" i="8"/>
  <c r="G11" i="8"/>
  <c r="G12" i="8" s="1"/>
  <c r="F13" i="6"/>
  <c r="J186" i="6"/>
  <c r="H62" i="6"/>
  <c r="I62" i="6" s="1"/>
  <c r="J62" i="6" s="1"/>
  <c r="H59" i="6"/>
  <c r="I59" i="6" s="1"/>
  <c r="J59" i="6" s="1"/>
  <c r="J11" i="8"/>
  <c r="J12" i="8" s="1"/>
  <c r="H60" i="8"/>
  <c r="I26" i="8"/>
  <c r="J58" i="3"/>
  <c r="K58" i="3" s="1"/>
  <c r="L58" i="3" s="1"/>
  <c r="J66" i="3"/>
  <c r="K66" i="3" s="1"/>
  <c r="L66" i="3" s="1"/>
  <c r="D11" i="3"/>
  <c r="D12" i="3" s="1"/>
  <c r="F11" i="1" s="1"/>
  <c r="L23" i="3"/>
  <c r="J83" i="7"/>
  <c r="D12" i="7"/>
  <c r="I109" i="7"/>
  <c r="J109" i="7" s="1"/>
  <c r="I134" i="6"/>
  <c r="H47" i="6"/>
  <c r="F301" i="6"/>
  <c r="G301" i="6" s="1"/>
  <c r="G267" i="6" s="1"/>
  <c r="F268" i="6"/>
  <c r="H267" i="6"/>
  <c r="I14" i="5"/>
  <c r="H213" i="6"/>
  <c r="H230" i="6"/>
  <c r="H234" i="6"/>
  <c r="I234" i="6" s="1"/>
  <c r="J234" i="6" s="1"/>
  <c r="H64" i="6"/>
  <c r="I64" i="6" s="1"/>
  <c r="J64" i="6" s="1"/>
  <c r="H69" i="6"/>
  <c r="I69" i="6" s="1"/>
  <c r="J69" i="6" s="1"/>
  <c r="J64" i="3"/>
  <c r="K64" i="3" s="1"/>
  <c r="L64" i="3" s="1"/>
  <c r="G48" i="8"/>
  <c r="H48" i="8" s="1"/>
  <c r="I48" i="8" s="1"/>
  <c r="H27" i="9"/>
  <c r="J83" i="3"/>
  <c r="J28" i="3" s="1"/>
  <c r="L58" i="2"/>
  <c r="M58" i="2" s="1"/>
  <c r="N58" i="2" s="1"/>
  <c r="L71" i="2"/>
  <c r="G155" i="4"/>
  <c r="H155" i="4" s="1"/>
  <c r="H100" i="4" s="1"/>
  <c r="I100" i="4"/>
  <c r="J29" i="6"/>
  <c r="G11" i="6"/>
  <c r="I82" i="6"/>
  <c r="H46" i="5"/>
  <c r="I46" i="5" s="1"/>
  <c r="J46" i="5" s="1"/>
  <c r="H130" i="5"/>
  <c r="I129" i="5"/>
  <c r="H216" i="6"/>
  <c r="I216" i="6" s="1"/>
  <c r="J216" i="6" s="1"/>
  <c r="H214" i="6"/>
  <c r="I214" i="6" s="1"/>
  <c r="J214" i="6" s="1"/>
  <c r="H57" i="6"/>
  <c r="I57" i="6" s="1"/>
  <c r="J57" i="6" s="1"/>
  <c r="J97" i="4"/>
  <c r="E12" i="4"/>
  <c r="H206" i="6"/>
  <c r="I206" i="6" s="1"/>
  <c r="J206" i="6" s="1"/>
  <c r="H109" i="7"/>
  <c r="G44" i="9"/>
  <c r="H49" i="5"/>
  <c r="H226" i="6"/>
  <c r="I226" i="6" s="1"/>
  <c r="J226" i="6" s="1"/>
  <c r="H229" i="6"/>
  <c r="I229" i="6" s="1"/>
  <c r="J229" i="6" s="1"/>
  <c r="J30" i="6"/>
  <c r="I85" i="6"/>
  <c r="I11" i="6"/>
  <c r="H73" i="10"/>
  <c r="I72" i="10"/>
  <c r="H65" i="6"/>
  <c r="I65" i="6" s="1"/>
  <c r="J65" i="6" s="1"/>
  <c r="H63" i="6"/>
  <c r="I63" i="6" s="1"/>
  <c r="J63" i="6" s="1"/>
  <c r="I75" i="10"/>
  <c r="H76" i="10"/>
  <c r="I45" i="7"/>
  <c r="H24" i="7"/>
  <c r="L24" i="3"/>
  <c r="E11" i="3"/>
  <c r="E12" i="3" s="1"/>
  <c r="G11" i="1" s="1"/>
  <c r="J67" i="3"/>
  <c r="K67" i="3" s="1"/>
  <c r="L67" i="3" s="1"/>
  <c r="F13" i="4"/>
  <c r="L63" i="2"/>
  <c r="M63" i="2" s="1"/>
  <c r="N63" i="2" s="1"/>
  <c r="L62" i="2"/>
  <c r="M62" i="2" s="1"/>
  <c r="N62" i="2" s="1"/>
  <c r="G189" i="6"/>
  <c r="H12" i="7"/>
  <c r="I115" i="7"/>
  <c r="J85" i="7"/>
  <c r="I295" i="6"/>
  <c r="H296" i="6"/>
  <c r="H126" i="5"/>
  <c r="H12" i="5"/>
  <c r="I96" i="5"/>
  <c r="H186" i="6"/>
  <c r="I233" i="6"/>
  <c r="I55" i="6"/>
  <c r="K54" i="3"/>
  <c r="J68" i="3"/>
  <c r="K68" i="3" s="1"/>
  <c r="L68" i="3" s="1"/>
  <c r="I24" i="10"/>
  <c r="E11" i="10"/>
  <c r="E12" i="10" s="1"/>
  <c r="G18" i="1" s="1"/>
  <c r="G24" i="10"/>
  <c r="H52" i="10"/>
  <c r="L64" i="2"/>
  <c r="M64" i="2" s="1"/>
  <c r="N64" i="2" s="1"/>
  <c r="H11" i="9"/>
  <c r="H12" i="9" s="1"/>
  <c r="H55" i="9"/>
  <c r="D11" i="10"/>
  <c r="D12" i="10" s="1"/>
  <c r="F18" i="1" s="1"/>
  <c r="I23" i="10"/>
  <c r="H49" i="10"/>
  <c r="I49" i="10" s="1"/>
  <c r="I27" i="10"/>
  <c r="E12" i="6"/>
  <c r="J106" i="6"/>
  <c r="I81" i="4"/>
  <c r="J80" i="4"/>
  <c r="H122" i="4"/>
  <c r="H75" i="5"/>
  <c r="H28" i="5" s="1"/>
  <c r="E83" i="5" s="1"/>
  <c r="I126" i="6"/>
  <c r="H105" i="6"/>
  <c r="J188" i="6"/>
  <c r="I243" i="6"/>
  <c r="I13" i="6"/>
  <c r="I72" i="5"/>
  <c r="G11" i="5"/>
  <c r="G14" i="5" s="1"/>
  <c r="J27" i="5"/>
  <c r="J27" i="6"/>
  <c r="E11" i="6"/>
  <c r="G94" i="5"/>
  <c r="H115" i="5"/>
  <c r="H120" i="5" s="1"/>
  <c r="I120" i="5" s="1"/>
  <c r="L56" i="2"/>
  <c r="M56" i="2" s="1"/>
  <c r="N56" i="2" s="1"/>
  <c r="G12" i="4"/>
  <c r="G13" i="4" s="1"/>
  <c r="J99" i="4"/>
  <c r="I152" i="4"/>
  <c r="I52" i="5"/>
  <c r="H26" i="5"/>
  <c r="M74" i="2"/>
  <c r="G11" i="2"/>
  <c r="G12" i="2" s="1"/>
  <c r="N23" i="2"/>
  <c r="D11" i="2"/>
  <c r="D12" i="2" s="1"/>
  <c r="H118" i="4"/>
  <c r="I118" i="4" s="1"/>
  <c r="J118" i="4" s="1"/>
  <c r="I28" i="5"/>
  <c r="H186" i="5"/>
  <c r="I185" i="5"/>
  <c r="H61" i="6"/>
  <c r="I61" i="6" s="1"/>
  <c r="J61" i="6" s="1"/>
  <c r="J110" i="6"/>
  <c r="J71" i="3"/>
  <c r="L54" i="2"/>
  <c r="L57" i="2"/>
  <c r="M57" i="2" s="1"/>
  <c r="N57" i="2" s="1"/>
  <c r="J26" i="7"/>
  <c r="I56" i="7"/>
  <c r="H11" i="7"/>
  <c r="I157" i="6"/>
  <c r="J157" i="6" s="1"/>
  <c r="J46" i="3"/>
  <c r="I29" i="3"/>
  <c r="F28" i="10"/>
  <c r="H135" i="6"/>
  <c r="I135" i="6" s="1"/>
  <c r="J135" i="6" s="1"/>
  <c r="I157" i="5"/>
  <c r="I158" i="5" s="1"/>
  <c r="H191" i="5"/>
  <c r="K13" i="5"/>
  <c r="I164" i="6"/>
  <c r="I12" i="6"/>
  <c r="J109" i="6"/>
  <c r="I123" i="5"/>
  <c r="H124" i="5"/>
  <c r="J69" i="3"/>
  <c r="K69" i="3" s="1"/>
  <c r="L69" i="3" s="1"/>
  <c r="G62" i="7"/>
  <c r="H62" i="7" s="1"/>
  <c r="H28" i="7" s="1"/>
  <c r="I28" i="7"/>
  <c r="I29" i="7" s="1"/>
  <c r="I174" i="5"/>
  <c r="I51" i="4"/>
  <c r="N24" i="2"/>
  <c r="E11" i="2"/>
  <c r="E12" i="2" s="1"/>
  <c r="L67" i="2"/>
  <c r="M67" i="2" s="1"/>
  <c r="N67" i="2" s="1"/>
  <c r="J28" i="6"/>
  <c r="I78" i="6"/>
  <c r="J78" i="6" s="1"/>
  <c r="F11" i="6"/>
  <c r="C159" i="5"/>
  <c r="L13" i="5"/>
  <c r="K77" i="3"/>
  <c r="H11" i="3"/>
  <c r="H12" i="3" s="1"/>
  <c r="L26" i="3"/>
  <c r="L47" i="2"/>
  <c r="M47" i="2" s="1"/>
  <c r="N47" i="2" s="1"/>
  <c r="E11" i="4"/>
  <c r="E13" i="4" s="1"/>
  <c r="G12" i="1" s="1"/>
  <c r="J59" i="7"/>
  <c r="I60" i="7"/>
  <c r="H99" i="5"/>
  <c r="I94" i="5"/>
  <c r="I99" i="5" s="1"/>
  <c r="D12" i="5"/>
  <c r="G11" i="3"/>
  <c r="G12" i="3" s="1"/>
  <c r="K74" i="3"/>
  <c r="H46" i="8"/>
  <c r="L60" i="2"/>
  <c r="M60" i="2" s="1"/>
  <c r="N60" i="2" s="1"/>
  <c r="L61" i="2"/>
  <c r="M61" i="2" s="1"/>
  <c r="N61" i="2" s="1"/>
  <c r="I75" i="6"/>
  <c r="H28" i="6"/>
  <c r="H179" i="5"/>
  <c r="I179" i="5" s="1"/>
  <c r="G29" i="7"/>
  <c r="I87" i="7"/>
  <c r="I57" i="8"/>
  <c r="H58" i="8"/>
  <c r="L48" i="2"/>
  <c r="M48" i="2" s="1"/>
  <c r="N48" i="2" s="1"/>
  <c r="H117" i="4"/>
  <c r="I13" i="7"/>
  <c r="J84" i="7"/>
  <c r="I112" i="7"/>
  <c r="G12" i="7"/>
  <c r="L49" i="2"/>
  <c r="M49" i="2" s="1"/>
  <c r="N49" i="2" s="1"/>
  <c r="H119" i="4"/>
  <c r="I119" i="4" s="1"/>
  <c r="J119" i="4" s="1"/>
  <c r="H44" i="5"/>
  <c r="G49" i="8"/>
  <c r="H49" i="8" s="1"/>
  <c r="I49" i="8" s="1"/>
  <c r="G61" i="9"/>
  <c r="G27" i="9" s="1"/>
  <c r="I162" i="6"/>
  <c r="J161" i="6"/>
  <c r="L27" i="3"/>
  <c r="J11" i="3"/>
  <c r="J12" i="3" s="1"/>
  <c r="K80" i="3"/>
  <c r="K28" i="3"/>
  <c r="K29" i="3" s="1"/>
  <c r="L59" i="2"/>
  <c r="M59" i="2" s="1"/>
  <c r="N59" i="2" s="1"/>
  <c r="L65" i="2"/>
  <c r="M65" i="2" s="1"/>
  <c r="N65" i="2" s="1"/>
  <c r="H63" i="8"/>
  <c r="I27" i="8"/>
  <c r="I11" i="8"/>
  <c r="I12" i="8" s="1"/>
  <c r="H137" i="6"/>
  <c r="I137" i="6" s="1"/>
  <c r="J137" i="6" s="1"/>
  <c r="M80" i="2"/>
  <c r="N27" i="2"/>
  <c r="J11" i="2"/>
  <c r="J12" i="2" s="1"/>
  <c r="L51" i="2"/>
  <c r="H121" i="4"/>
  <c r="I121" i="4" s="1"/>
  <c r="J121" i="4" s="1"/>
  <c r="J45" i="4" l="1"/>
  <c r="H97" i="4"/>
  <c r="H25" i="4"/>
  <c r="I70" i="4"/>
  <c r="J70" i="4" s="1"/>
  <c r="N28" i="2"/>
  <c r="K11" i="2"/>
  <c r="K12" i="2" s="1"/>
  <c r="H25" i="5"/>
  <c r="J11" i="10"/>
  <c r="J12" i="10" s="1"/>
  <c r="I18" i="1" s="1"/>
  <c r="M83" i="2"/>
  <c r="C35" i="1"/>
  <c r="H78" i="10"/>
  <c r="I72" i="6"/>
  <c r="J72" i="6" s="1"/>
  <c r="J24" i="3"/>
  <c r="L11" i="7"/>
  <c r="C30" i="7"/>
  <c r="L80" i="3"/>
  <c r="K81" i="3"/>
  <c r="K75" i="3"/>
  <c r="L74" i="3"/>
  <c r="I10" i="1"/>
  <c r="H79" i="10"/>
  <c r="I78" i="10"/>
  <c r="I52" i="10"/>
  <c r="J233" i="6"/>
  <c r="K71" i="3"/>
  <c r="L71" i="3" s="1"/>
  <c r="I86" i="6"/>
  <c r="J85" i="6"/>
  <c r="H106" i="6"/>
  <c r="H51" i="8"/>
  <c r="I51" i="8" s="1"/>
  <c r="D13" i="7"/>
  <c r="F15" i="1" s="1"/>
  <c r="J118" i="7"/>
  <c r="I119" i="7"/>
  <c r="I158" i="6"/>
  <c r="I52" i="9"/>
  <c r="H53" i="9"/>
  <c r="J87" i="7"/>
  <c r="J88" i="7" s="1"/>
  <c r="K12" i="7"/>
  <c r="I121" i="7"/>
  <c r="I29" i="8"/>
  <c r="N77" i="2"/>
  <c r="M78" i="2"/>
  <c r="J53" i="7"/>
  <c r="I54" i="7"/>
  <c r="I110" i="7"/>
  <c r="J104" i="7"/>
  <c r="I83" i="6"/>
  <c r="J82" i="6"/>
  <c r="L11" i="3"/>
  <c r="C30" i="3"/>
  <c r="N80" i="2"/>
  <c r="M81" i="2"/>
  <c r="J112" i="7"/>
  <c r="I113" i="7"/>
  <c r="I11" i="1"/>
  <c r="G10" i="1"/>
  <c r="K46" i="3"/>
  <c r="J23" i="3"/>
  <c r="J126" i="6"/>
  <c r="I131" i="6"/>
  <c r="J131" i="6" s="1"/>
  <c r="J115" i="7"/>
  <c r="I116" i="7"/>
  <c r="I155" i="4"/>
  <c r="J100" i="4"/>
  <c r="J101" i="4" s="1"/>
  <c r="H12" i="4"/>
  <c r="H55" i="8"/>
  <c r="I54" i="8"/>
  <c r="J75" i="6"/>
  <c r="I79" i="6"/>
  <c r="H26" i="6"/>
  <c r="I47" i="6"/>
  <c r="J189" i="6"/>
  <c r="H11" i="4"/>
  <c r="I83" i="4"/>
  <c r="J28" i="4"/>
  <c r="J29" i="4" s="1"/>
  <c r="J145" i="4"/>
  <c r="G13" i="7"/>
  <c r="I15" i="1" s="1"/>
  <c r="H64" i="8"/>
  <c r="I63" i="8"/>
  <c r="C30" i="4"/>
  <c r="L11" i="4"/>
  <c r="K78" i="3"/>
  <c r="L77" i="3"/>
  <c r="H69" i="10"/>
  <c r="I69" i="10" s="1"/>
  <c r="H127" i="5"/>
  <c r="I126" i="5"/>
  <c r="I241" i="6"/>
  <c r="J240" i="6"/>
  <c r="N29" i="2"/>
  <c r="J243" i="6"/>
  <c r="I244" i="6"/>
  <c r="I151" i="6"/>
  <c r="J151" i="6" s="1"/>
  <c r="L12" i="5"/>
  <c r="C100" i="5"/>
  <c r="H13" i="7"/>
  <c r="I75" i="5"/>
  <c r="J28" i="5"/>
  <c r="J29" i="5" s="1"/>
  <c r="H11" i="5"/>
  <c r="H14" i="5" s="1"/>
  <c r="I13" i="1" s="1"/>
  <c r="L11" i="10"/>
  <c r="C29" i="10"/>
  <c r="I213" i="6"/>
  <c r="H185" i="6"/>
  <c r="L11" i="8"/>
  <c r="C30" i="8"/>
  <c r="I44" i="5"/>
  <c r="H96" i="4"/>
  <c r="I117" i="4"/>
  <c r="N13" i="5"/>
  <c r="M13" i="5"/>
  <c r="I165" i="6"/>
  <c r="J164" i="6"/>
  <c r="J56" i="7"/>
  <c r="I57" i="7"/>
  <c r="J52" i="5"/>
  <c r="I69" i="5"/>
  <c r="J69" i="5" s="1"/>
  <c r="I28" i="10"/>
  <c r="I88" i="7"/>
  <c r="J205" i="6"/>
  <c r="I298" i="6"/>
  <c r="H299" i="6"/>
  <c r="L13" i="6"/>
  <c r="C190" i="6"/>
  <c r="J74" i="4"/>
  <c r="I76" i="4"/>
  <c r="J76" i="4" s="1"/>
  <c r="G23" i="8"/>
  <c r="F10" i="1"/>
  <c r="J152" i="4"/>
  <c r="I153" i="4"/>
  <c r="H44" i="9"/>
  <c r="G23" i="9"/>
  <c r="I267" i="6"/>
  <c r="H301" i="6"/>
  <c r="K14" i="6"/>
  <c r="K15" i="6" s="1"/>
  <c r="J14" i="1" s="1"/>
  <c r="H268" i="6"/>
  <c r="H184" i="6"/>
  <c r="I210" i="6"/>
  <c r="J210" i="6" s="1"/>
  <c r="I101" i="4"/>
  <c r="H50" i="10"/>
  <c r="I44" i="10"/>
  <c r="J55" i="6"/>
  <c r="I73" i="6"/>
  <c r="M75" i="2"/>
  <c r="N74" i="2"/>
  <c r="E15" i="6"/>
  <c r="G14" i="1" s="1"/>
  <c r="J45" i="7"/>
  <c r="I60" i="8"/>
  <c r="H61" i="8"/>
  <c r="I132" i="5"/>
  <c r="H133" i="5"/>
  <c r="L28" i="3"/>
  <c r="L29" i="3" s="1"/>
  <c r="K11" i="3"/>
  <c r="K12" i="3" s="1"/>
  <c r="J11" i="1" s="1"/>
  <c r="K83" i="3"/>
  <c r="I46" i="8"/>
  <c r="F15" i="6"/>
  <c r="H14" i="1" s="1"/>
  <c r="H180" i="5"/>
  <c r="H192" i="5"/>
  <c r="I191" i="5"/>
  <c r="L11" i="2"/>
  <c r="C30" i="2"/>
  <c r="J72" i="5"/>
  <c r="I73" i="5"/>
  <c r="L54" i="3"/>
  <c r="H12" i="1"/>
  <c r="H61" i="9"/>
  <c r="I27" i="9"/>
  <c r="I28" i="9" s="1"/>
  <c r="K11" i="9"/>
  <c r="K12" i="9" s="1"/>
  <c r="J17" i="1" s="1"/>
  <c r="I236" i="6"/>
  <c r="J236" i="6" s="1"/>
  <c r="H28" i="9"/>
  <c r="I268" i="6"/>
  <c r="L11" i="6"/>
  <c r="C32" i="6"/>
  <c r="I148" i="4"/>
  <c r="J148" i="4" s="1"/>
  <c r="J28" i="7"/>
  <c r="J29" i="7" s="1"/>
  <c r="K11" i="7"/>
  <c r="K13" i="7" s="1"/>
  <c r="J15" i="1" s="1"/>
  <c r="I62" i="7"/>
  <c r="M54" i="2"/>
  <c r="L24" i="2"/>
  <c r="H56" i="9"/>
  <c r="I55" i="9"/>
  <c r="J10" i="1"/>
  <c r="J31" i="6"/>
  <c r="J125" i="4"/>
  <c r="J53" i="4"/>
  <c r="I58" i="9"/>
  <c r="H59" i="9"/>
  <c r="D14" i="5"/>
  <c r="F13" i="1" s="1"/>
  <c r="H121" i="5"/>
  <c r="I115" i="5"/>
  <c r="H27" i="6"/>
  <c r="M84" i="2"/>
  <c r="N83" i="2"/>
  <c r="I15" i="6"/>
  <c r="C34" i="1" s="1"/>
  <c r="I142" i="4"/>
  <c r="J142" i="4" s="1"/>
  <c r="G15" i="6"/>
  <c r="I14" i="1" s="1"/>
  <c r="J134" i="6"/>
  <c r="I16" i="1"/>
  <c r="I284" i="6"/>
  <c r="H289" i="6"/>
  <c r="I289" i="6" s="1"/>
  <c r="I50" i="7"/>
  <c r="J50" i="7" s="1"/>
  <c r="I29" i="5"/>
  <c r="M46" i="2"/>
  <c r="L23" i="2"/>
  <c r="I17" i="1"/>
  <c r="I66" i="8"/>
  <c r="H67" i="8"/>
  <c r="N12" i="6"/>
  <c r="M12" i="6"/>
  <c r="I71" i="4" l="1"/>
  <c r="H13" i="4"/>
  <c r="I12" i="1" s="1"/>
  <c r="I152" i="6"/>
  <c r="K72" i="3"/>
  <c r="C29" i="1"/>
  <c r="I143" i="4"/>
  <c r="J19" i="1"/>
  <c r="C33" i="1"/>
  <c r="H70" i="10"/>
  <c r="N12" i="5"/>
  <c r="M12" i="5"/>
  <c r="J83" i="4"/>
  <c r="I84" i="4"/>
  <c r="C30" i="1"/>
  <c r="C269" i="6"/>
  <c r="L14" i="6"/>
  <c r="I211" i="6"/>
  <c r="N46" i="2"/>
  <c r="M51" i="2"/>
  <c r="N51" i="2" s="1"/>
  <c r="L11" i="9"/>
  <c r="C29" i="9"/>
  <c r="K84" i="3"/>
  <c r="L83" i="3"/>
  <c r="L12" i="7"/>
  <c r="C89" i="7"/>
  <c r="I156" i="4"/>
  <c r="J155" i="4"/>
  <c r="I19" i="1"/>
  <c r="H302" i="6"/>
  <c r="I301" i="6"/>
  <c r="J213" i="6"/>
  <c r="I230" i="6"/>
  <c r="J230" i="6" s="1"/>
  <c r="N11" i="4"/>
  <c r="M11" i="4"/>
  <c r="C32" i="1"/>
  <c r="J62" i="7"/>
  <c r="I63" i="7"/>
  <c r="I77" i="4"/>
  <c r="J117" i="4"/>
  <c r="I122" i="4"/>
  <c r="J122" i="4" s="1"/>
  <c r="I53" i="6"/>
  <c r="J47" i="6"/>
  <c r="I52" i="6"/>
  <c r="J52" i="6" s="1"/>
  <c r="H19" i="1"/>
  <c r="L11" i="5"/>
  <c r="C30" i="5"/>
  <c r="N54" i="2"/>
  <c r="M71" i="2"/>
  <c r="N71" i="2" s="1"/>
  <c r="N11" i="2"/>
  <c r="N12" i="2" s="1"/>
  <c r="M11" i="2"/>
  <c r="M12" i="2" s="1"/>
  <c r="L12" i="2"/>
  <c r="L12" i="10"/>
  <c r="N11" i="10"/>
  <c r="N12" i="10" s="1"/>
  <c r="M11" i="10"/>
  <c r="M12" i="10" s="1"/>
  <c r="H290" i="6"/>
  <c r="I44" i="9"/>
  <c r="H49" i="9"/>
  <c r="I49" i="9" s="1"/>
  <c r="I237" i="6"/>
  <c r="I61" i="9"/>
  <c r="H62" i="9"/>
  <c r="N13" i="6"/>
  <c r="M13" i="6"/>
  <c r="I70" i="5"/>
  <c r="J44" i="5"/>
  <c r="I49" i="5"/>
  <c r="J49" i="5" s="1"/>
  <c r="I132" i="6"/>
  <c r="C36" i="1"/>
  <c r="C31" i="1"/>
  <c r="L12" i="4"/>
  <c r="C102" i="4"/>
  <c r="I76" i="5"/>
  <c r="J75" i="5"/>
  <c r="I149" i="4"/>
  <c r="L46" i="3"/>
  <c r="K51" i="3"/>
  <c r="L51" i="3" s="1"/>
  <c r="N11" i="3"/>
  <c r="N12" i="3" s="1"/>
  <c r="L12" i="3"/>
  <c r="M11" i="3"/>
  <c r="M12" i="3" s="1"/>
  <c r="I51" i="7"/>
  <c r="N11" i="6"/>
  <c r="M11" i="6"/>
  <c r="H52" i="8"/>
  <c r="F19" i="1"/>
  <c r="N11" i="8"/>
  <c r="N12" i="8" s="1"/>
  <c r="L12" i="8"/>
  <c r="M11" i="8"/>
  <c r="M12" i="8" s="1"/>
  <c r="G19" i="1"/>
  <c r="J121" i="7"/>
  <c r="I122" i="7"/>
  <c r="N11" i="7"/>
  <c r="M11" i="7"/>
  <c r="N12" i="7" l="1"/>
  <c r="N13" i="7" s="1"/>
  <c r="M12" i="7"/>
  <c r="F6" i="3"/>
  <c r="I6" i="3" s="1"/>
  <c r="D11" i="1"/>
  <c r="D10" i="1"/>
  <c r="F6" i="2"/>
  <c r="I6" i="2" s="1"/>
  <c r="F6" i="8"/>
  <c r="I6" i="8" s="1"/>
  <c r="D16" i="1"/>
  <c r="M52" i="2"/>
  <c r="L13" i="7"/>
  <c r="N12" i="4"/>
  <c r="N13" i="4" s="1"/>
  <c r="M12" i="4"/>
  <c r="M13" i="4" s="1"/>
  <c r="L13" i="4"/>
  <c r="C37" i="1"/>
  <c r="N14" i="6"/>
  <c r="N15" i="6" s="1"/>
  <c r="M14" i="6"/>
  <c r="M15" i="6" s="1"/>
  <c r="I123" i="4"/>
  <c r="I231" i="6"/>
  <c r="M13" i="7"/>
  <c r="K52" i="3"/>
  <c r="H50" i="9"/>
  <c r="M72" i="2"/>
  <c r="L12" i="9"/>
  <c r="N11" i="9"/>
  <c r="N12" i="9" s="1"/>
  <c r="M11" i="9"/>
  <c r="M12" i="9" s="1"/>
  <c r="L15" i="6"/>
  <c r="I50" i="5"/>
  <c r="L14" i="5"/>
  <c r="N11" i="5"/>
  <c r="N14" i="5" s="1"/>
  <c r="M11" i="5"/>
  <c r="M14" i="5" s="1"/>
  <c r="F6" i="10"/>
  <c r="I6" i="10" s="1"/>
  <c r="D18" i="1"/>
  <c r="E18" i="1" l="1"/>
  <c r="E16" i="1"/>
  <c r="F6" i="9"/>
  <c r="I6" i="9" s="1"/>
  <c r="D17" i="1"/>
  <c r="E10" i="1"/>
  <c r="F6" i="6"/>
  <c r="I6" i="6" s="1"/>
  <c r="D14" i="1"/>
  <c r="D12" i="1"/>
  <c r="F6" i="4"/>
  <c r="I6" i="4" s="1"/>
  <c r="F6" i="5"/>
  <c r="I6" i="5" s="1"/>
  <c r="D13" i="1"/>
  <c r="E11" i="1"/>
  <c r="F6" i="7"/>
  <c r="I6" i="7" s="1"/>
  <c r="D15" i="1"/>
  <c r="E15" i="1" l="1"/>
  <c r="C6" i="1"/>
  <c r="K13" i="1" s="1"/>
  <c r="D19" i="1"/>
  <c r="E13" i="1"/>
  <c r="E17" i="1"/>
  <c r="E12" i="1"/>
  <c r="E14" i="1"/>
  <c r="K14" i="1"/>
  <c r="K17" i="1" l="1"/>
  <c r="E19" i="1"/>
  <c r="F6" i="1"/>
  <c r="D35" i="1"/>
  <c r="D34" i="1"/>
  <c r="D33" i="1"/>
  <c r="D29" i="1"/>
  <c r="D30" i="1"/>
  <c r="D36" i="1"/>
  <c r="D32" i="1"/>
  <c r="D31" i="1"/>
  <c r="K18" i="1"/>
  <c r="K16" i="1"/>
  <c r="K10" i="1"/>
  <c r="K11" i="1"/>
  <c r="K12" i="1"/>
  <c r="K15" i="1"/>
  <c r="D37" i="1" l="1"/>
  <c r="K19" i="1"/>
</calcChain>
</file>

<file path=xl/sharedStrings.xml><?xml version="1.0" encoding="utf-8"?>
<sst xmlns="http://schemas.openxmlformats.org/spreadsheetml/2006/main" count="2812" uniqueCount="437">
  <si>
    <t>CST 2026–2027  Flowcharts por programa</t>
  </si>
  <si>
    <t>Escenario de pauta con honorarios incluidos (comisión 15%). Presupuestos y entregas estimadas por programa.</t>
  </si>
  <si>
    <t>Inversión total</t>
  </si>
  <si>
    <t>Balance</t>
  </si>
  <si>
    <t>PO</t>
  </si>
  <si>
    <t>Programa</t>
  </si>
  <si>
    <t>Inversión del plan</t>
  </si>
  <si>
    <t>Balance vs. AGA</t>
  </si>
  <si>
    <t>TV abierta</t>
  </si>
  <si>
    <t>Radio</t>
  </si>
  <si>
    <t>Exterior</t>
  </si>
  <si>
    <t>Digital y gaming</t>
  </si>
  <si>
    <t>Creadores</t>
  </si>
  <si>
    <t>SOI %</t>
  </si>
  <si>
    <t>27-12-01</t>
  </si>
  <si>
    <t>Alcohol adultos</t>
  </si>
  <si>
    <t>27-12-02</t>
  </si>
  <si>
    <t>Alcohol jóvenes</t>
  </si>
  <si>
    <t>27-12-03</t>
  </si>
  <si>
    <t>Velocidad y agresividad</t>
  </si>
  <si>
    <t>27-12-07</t>
  </si>
  <si>
    <t>Protección al ocupante</t>
  </si>
  <si>
    <t>27-12-10</t>
  </si>
  <si>
    <t>No motorizados</t>
  </si>
  <si>
    <t>27-12-13</t>
  </si>
  <si>
    <t>Motocicletas</t>
  </si>
  <si>
    <t>27-12-14</t>
  </si>
  <si>
    <t>Distracción</t>
  </si>
  <si>
    <t>27-12-15</t>
  </si>
  <si>
    <t>PESET</t>
  </si>
  <si>
    <t>27-12-16</t>
  </si>
  <si>
    <t>Drogas y conducción</t>
  </si>
  <si>
    <t>TOTAL PAUTA</t>
  </si>
  <si>
    <t>Los importes ya incluyen honorarios del 15% sobre el costo neto de pauta. No se añaden nuevamente a cada campaña.</t>
  </si>
  <si>
    <t xml:space="preserve">Auspicios: $1,075,000 pendientes de con con el RFP. No están sumados al escenario de $3,763,000. </t>
  </si>
  <si>
    <t>No se asignan los $117,200 sin desglose del PO de no motorizados. Producción y reproducción están fuera de estos flowcharts de pauta.</t>
  </si>
  <si>
    <t>Jóvenes, golpe de calor y PESET incluyen calendarios propuestos. Los demás planes conservan las ventanas y el mix de origen, escalados por partida.</t>
  </si>
  <si>
    <t xml:space="preserve">Entregas estimadas con tarifas de referencia. </t>
  </si>
  <si>
    <t>Medio</t>
  </si>
  <si>
    <t>Inversión</t>
  </si>
  <si>
    <t>SOI total</t>
  </si>
  <si>
    <t>Radio regional</t>
  </si>
  <si>
    <t>Exterior / OOH</t>
  </si>
  <si>
    <t>Meta</t>
  </si>
  <si>
    <t>YouTube</t>
  </si>
  <si>
    <t>Programática</t>
  </si>
  <si>
    <t>Gaming</t>
  </si>
  <si>
    <t>Creadores e integraciones</t>
  </si>
  <si>
    <t>TOTAL</t>
  </si>
  <si>
    <t>27-12-01  Alcohol adultos</t>
  </si>
  <si>
    <t>Presupuesto AGA</t>
  </si>
  <si>
    <t>Auspicios AGA pendientes</t>
  </si>
  <si>
    <t>Auspicios AGA pendientes de conciliación; no se suman al plan. Ver “AGA y criterios”. Alcance y frecuencia requieren datos de audiencia.</t>
  </si>
  <si>
    <t>Campaña</t>
  </si>
  <si>
    <t>Presupuesto</t>
  </si>
  <si>
    <t>Total asignado</t>
  </si>
  <si>
    <t>SOI programa</t>
  </si>
  <si>
    <t>TOTAL PROGRAMA</t>
  </si>
  <si>
    <t>Público: Hombres 25–34. Secundario: hombres 35–44.</t>
  </si>
  <si>
    <t>Mensaje: Si guías borracho, serás arrestado. Si vas a beber, utiliza un conductor designado o un transporte alterno.</t>
  </si>
  <si>
    <t>7 campañas. Se conservan las siete ventanas del archivo base.</t>
  </si>
  <si>
    <t>Presupuesto de campaña</t>
  </si>
  <si>
    <t xml:space="preserve">Auspicios pendientes de con con el RFP. No están sumados al escenario de $3,763,000. </t>
  </si>
  <si>
    <t>Unidad estimada</t>
  </si>
  <si>
    <t>Tarifa integrada</t>
  </si>
  <si>
    <t>19–31 oct 26</t>
  </si>
  <si>
    <t>1–28 nov 26</t>
  </si>
  <si>
    <t>1–28 dic 26</t>
  </si>
  <si>
    <t>1–28 mar 27</t>
  </si>
  <si>
    <t>1–28 jun 27</t>
  </si>
  <si>
    <t>1–28 jul 27</t>
  </si>
  <si>
    <t>1–28 sep 27</t>
  </si>
  <si>
    <t>Entrega estimada</t>
  </si>
  <si>
    <t>Spots de 60 s eq.</t>
  </si>
  <si>
    <t>Cuñas de 30 s eq.</t>
  </si>
  <si>
    <t>Impresiones</t>
  </si>
  <si>
    <t>Vistas completas</t>
  </si>
  <si>
    <t>Publicaciones eq.</t>
  </si>
  <si>
    <t>TOTAL CAMPAÑA</t>
  </si>
  <si>
    <t>Balance de campaña</t>
  </si>
  <si>
    <t>“eq.” = unidades equivalentes de planificación, no colocaciones enteras contratadas. Ajuste de centavos en la última celda. Tarifas incluyen honorarios.</t>
  </si>
  <si>
    <t>Base de tarifa: TV = paquete de 6 spots; radio = 18 cuñas; OOH = 28 puntos × 5 días; digital = CPM; gaming = vista completa; creadores = 3 publicaciones.</t>
  </si>
  <si>
    <t>Fechas de pauta por medio</t>
  </si>
  <si>
    <t>Formato</t>
  </si>
  <si>
    <t>Condición</t>
  </si>
  <si>
    <t>TMD / WAPA / TeleOnce; programas del detalle</t>
  </si>
  <si>
    <t>Ventana de pauta</t>
  </si>
  <si>
    <t>18 emisoras; ROS 7 a. m.–5 p. m. y excepciones del detalle</t>
  </si>
  <si>
    <t>Bloques y días exactos por confirmar</t>
  </si>
  <si>
    <t>Video / Reels / Stories</t>
  </si>
  <si>
    <t>Video 15–30 s</t>
  </si>
  <si>
    <t>Admazing Video Reward</t>
  </si>
  <si>
    <t>1 video + 2 Stories por paquete</t>
  </si>
  <si>
    <t>Colocaciones por proveedor y periodo</t>
  </si>
  <si>
    <t>Proveedor</t>
  </si>
  <si>
    <t>Programa / formato</t>
  </si>
  <si>
    <t>Cantidad total</t>
  </si>
  <si>
    <t>SOI campaña</t>
  </si>
  <si>
    <t>Subtotal TV abierta</t>
  </si>
  <si>
    <t>30 s · 12 m.</t>
  </si>
  <si>
    <t>30 s · La Hornilla / John Alma</t>
  </si>
  <si>
    <t>Subtotal Radio regional</t>
  </si>
  <si>
    <t>Subtotal Meta</t>
  </si>
  <si>
    <t>Subtotal YouTube</t>
  </si>
  <si>
    <t>Subtotal Gaming</t>
  </si>
  <si>
    <t>Subtotal Creadores e integraciones</t>
  </si>
  <si>
    <t>Cantidad del proveedor = paquetes equivalentes. Entrega en el cuadro principal = paquetes × 3 publicaciones. Perfiles y unidades enteras pendientes.</t>
  </si>
  <si>
    <t>27-12-02  Alcohol jóvenes</t>
  </si>
  <si>
    <t>Público: Hombres 16–24. Secundario: hombres 18–20, según AGA.</t>
  </si>
  <si>
    <t>Mensaje: Si vas a beber, pasa la llave.</t>
  </si>
  <si>
    <t>5 campañas. Ventanas propuestas: diciembre, marzo, junio, julio y septiembre. Mix heredado de alcohol, sujeto a validar afinidad del público juvenil.</t>
  </si>
  <si>
    <t>27-12-03  Velocidad y agresividad</t>
  </si>
  <si>
    <t>Velocidad</t>
  </si>
  <si>
    <t>Agresividad</t>
  </si>
  <si>
    <t>27-12-03  Velocidad</t>
  </si>
  <si>
    <t>Público: Hombres 25–34. Secundario: hombres 16–24.</t>
  </si>
  <si>
    <t>Mensaje: El límite de velocidad es la Ley.</t>
  </si>
  <si>
    <t>Se conserva la distribución por medio y las tres ventanas de la campaña base.</t>
  </si>
  <si>
    <t>1–28 feb 27</t>
  </si>
  <si>
    <t>1–28 ago 27</t>
  </si>
  <si>
    <t>Puntos-periodo eq.</t>
  </si>
  <si>
    <t>4 redes / 28 puntos de referencia / bloque de 5 días</t>
  </si>
  <si>
    <t>Hello Media</t>
  </si>
  <si>
    <t>Subtotal Exterior / OOH</t>
  </si>
  <si>
    <t>Cantidad del proveedor = bloques equivalentes de 5 días. Puntos-periodo = bloques × puntos de cada red; no es alcance único ni circulación.</t>
  </si>
  <si>
    <t>27-12-03  Agresividad</t>
  </si>
  <si>
    <t>Mensaje: No seas un conductor agresivo.</t>
  </si>
  <si>
    <t>Partida separada. Conserva el mix y las ventanas de velocidad/agresividad.</t>
  </si>
  <si>
    <t>27-12-07  Protección al ocupante</t>
  </si>
  <si>
    <t>Cinturón de seguridad</t>
  </si>
  <si>
    <t>Golpe de calor</t>
  </si>
  <si>
    <t>Asientos protectores</t>
  </si>
  <si>
    <t>27-12-07  Cinturón de seguridad</t>
  </si>
  <si>
    <t>Mensaje: De día o de noche si no te amarras, pagas.</t>
  </si>
  <si>
    <t>2 campañas AGA. Propuesta: campaña 1 en noviembre y febrero; campaña 2 en mayo. Se mantienen las tres ventanas de origen.</t>
  </si>
  <si>
    <t>1–28 may 27</t>
  </si>
  <si>
    <t>Alcance frecuencia y exposición</t>
  </si>
  <si>
    <t>Reach único</t>
  </si>
  <si>
    <t>Frecuencia</t>
  </si>
  <si>
    <t>Exposición / impactos</t>
  </si>
  <si>
    <t>KPI y dato necesario</t>
  </si>
  <si>
    <t>No disponible / requiere validación</t>
  </si>
  <si>
    <t>Spots equivalentes. Faltan ratings del target por programa y modelo de alcance/frecuencia.</t>
  </si>
  <si>
    <t>Cuñas equivalentes. Faltan audiencia/ratings por emisora y acumulación del target.</t>
  </si>
  <si>
    <t>Impresiones estimadas. Falta pronóstico de alcance único del target en plataforma.</t>
  </si>
  <si>
    <t>27-12-07  Golpe de calor</t>
  </si>
  <si>
    <t>Público: Mujeres 25–34. Prevención para menores de 0–3.</t>
  </si>
  <si>
    <t>Mensaje: Al estacionar su vehículo recuerde, para, mira y cierra.</t>
  </si>
  <si>
    <t>Nueva línea. Mix tomado de asientos protectores; mayo y agosto, 50% por ventana, como propuesta de planificación.</t>
  </si>
  <si>
    <t>Display premium local</t>
  </si>
  <si>
    <t>Subtotal Programática</t>
  </si>
  <si>
    <t>Publicaciones equivalentes. Faltan perfiles, audiencia local y rendimiento histórico.</t>
  </si>
  <si>
    <t>27-12-07  Asientos protectores</t>
  </si>
  <si>
    <t>Público: Mujeres 25–34. Protección de menores de 0–8.</t>
  </si>
  <si>
    <t>Mensaje: Asiento protector, úsalo correctamente.</t>
  </si>
  <si>
    <t>Se conservan diciembre y septiembre y la distribución por medio del archivo base.</t>
  </si>
  <si>
    <t>27-12-10  No motorizados</t>
  </si>
  <si>
    <t>Peatón responsable y sénior</t>
  </si>
  <si>
    <t>Peatón sobrio</t>
  </si>
  <si>
    <t>Conductor ante el peatón</t>
  </si>
  <si>
    <t>Seguridad ciclista</t>
  </si>
  <si>
    <t>27-12-10  Peatón responsable y sénior</t>
  </si>
  <si>
    <t>Público: Hombres 65+. Secundario: hombres 55+.</t>
  </si>
  <si>
    <t>Mensaje: Peatón Responsable. Cruce seguro para todos.</t>
  </si>
  <si>
    <t>19 oct–15 nov 26</t>
  </si>
  <si>
    <t>1–28 ene 27</t>
  </si>
  <si>
    <t>Hello Media (validar nombre)</t>
  </si>
  <si>
    <t>Puntos-periodo equivalentes. Faltan circulación, impresiones y modelo de exposición.</t>
  </si>
  <si>
    <t>27-12-10  Peatón sobrio</t>
  </si>
  <si>
    <t>Público: Público peatonal AGA: hombres 65+ y 55+. Validar segmentación específica de esta ejecución con CST.</t>
  </si>
  <si>
    <t>Mensaje: Peatón Sobrio Camina Seguro.</t>
  </si>
  <si>
    <t>Partida separada. Mix y ventanas heredados de la campaña peatonal.</t>
  </si>
  <si>
    <t>27-12-10  Conductor ante el peatón</t>
  </si>
  <si>
    <t>Público: Conductores que comparten la vía con peatones. Edad y sexo específicos pendientes de confirmación CST.</t>
  </si>
  <si>
    <t>Mensaje: Somos Responsables.</t>
  </si>
  <si>
    <t>27-12-10  Seguridad ciclista</t>
  </si>
  <si>
    <t>Público: Conductores y ciclistas. Segmentación demográfica específica pendiente de CST.</t>
  </si>
  <si>
    <t>Mensaje: Comparte la Carretera.</t>
  </si>
  <si>
    <t>Se conservan mayo y julio y el mix de la campaña ciclista.</t>
  </si>
  <si>
    <t>27-12-13  Motocicletas</t>
  </si>
  <si>
    <t>Auspicios pendientes</t>
  </si>
  <si>
    <t>Seguridad del motociclista</t>
  </si>
  <si>
    <t>Concientización sobre motoras</t>
  </si>
  <si>
    <t>27-12-13  Seguridad del motociclista</t>
  </si>
  <si>
    <t>Público: Hombres 18–24. Secundario: hombres 25–34.</t>
  </si>
  <si>
    <t>Mensaje: Motociclista seguro.</t>
  </si>
  <si>
    <t>Se conserva el mix y las ventanas de la campaña de motora.</t>
  </si>
  <si>
    <t>27-12-13  Concientización sobre motoras</t>
  </si>
  <si>
    <t>Público: Conductores. AGA de motocicletas: hombres 18–24 y 25–34; validar segmentación por ejecución.</t>
  </si>
  <si>
    <t>Mensaje: Comparte la carretera.</t>
  </si>
  <si>
    <t>Partida separada. Mix y ventanas heredados de la campaña de motora.</t>
  </si>
  <si>
    <t>27-12-14  Distracción</t>
  </si>
  <si>
    <t>Auspicios  pendientes</t>
  </si>
  <si>
    <t>Público: Hombres 25–34. Secundario: hombres 18–24.</t>
  </si>
  <si>
    <t>Mensaje: Celular guardado o serás multado.</t>
  </si>
  <si>
    <t>Se conservan abril y agosto y el mix del archivo base.</t>
  </si>
  <si>
    <t>1–28 abr 27</t>
  </si>
  <si>
    <t>Vistas completas en el cuadro de entrega. Faltan usuarios únicos e impresiones.</t>
  </si>
  <si>
    <t>27-12-15  PESET</t>
  </si>
  <si>
    <t>Promoción de PESET</t>
  </si>
  <si>
    <t>27-12-15  Promoción de PESET</t>
  </si>
  <si>
    <t>Público: Hombres 16–24; mujeres 26–34; niños 7–12. Parque: beneficiarios de 3–18 años.</t>
  </si>
  <si>
    <t>Mensaje: Diviértete aprendiendo en PESET ¡es gratis!</t>
  </si>
  <si>
    <t>2 campañas propuestas: junio y agosto, 50% cada una. Mix de referencia: asientos protectores. Comunicación digital a adultos/cuidadores; no segmentación conductual infantil.</t>
  </si>
  <si>
    <t>27-12-16  Drogas y conducción</t>
  </si>
  <si>
    <t>Público: Mujeres 25–34. Secundario: mujeres 35–44.</t>
  </si>
  <si>
    <t>Mensaje: Si te sientes diferente, guías diferente.</t>
  </si>
  <si>
    <t>2 campañas. Se conservan abril y agosto; confirmar rendimiento de medios para el público femenino.</t>
  </si>
  <si>
    <t>Criterios del escenario</t>
  </si>
  <si>
    <t>Honorarios sobre pauta neta</t>
  </si>
  <si>
    <t>Criterio: los $3,763,000 se tratan como límite total del escenario, con honorarios incluidos. Confirmar esta base con CST.</t>
  </si>
  <si>
    <t>Paid Media AGA</t>
  </si>
  <si>
    <t>Eventos / auspicios</t>
  </si>
  <si>
    <t>Nueva producción</t>
  </si>
  <si>
    <t>Repro / edición / adaptación</t>
  </si>
  <si>
    <t>Total PO indicado</t>
  </si>
  <si>
    <t>Suma visible</t>
  </si>
  <si>
    <t>Diferencia</t>
  </si>
  <si>
    <t>Auspicios: el AGA los presenta en columna separada y el RFP exige incluirlos dentro de Paid Media. No se suman ni se asignan sin aclaración CST.</t>
  </si>
  <si>
    <t>No motorizados: $117,200 del total PO no tienen desglose visible. No se utilizan para financiar estos flowcharts.</t>
  </si>
  <si>
    <t>Línea de campaña</t>
  </si>
  <si>
    <t>Presupuesto de pauta</t>
  </si>
  <si>
    <t>Plan base</t>
  </si>
  <si>
    <t>Calendario y criterio</t>
  </si>
  <si>
    <t>01 Alcohol</t>
  </si>
  <si>
    <t>02 Velocidad</t>
  </si>
  <si>
    <t>04 Cinturón</t>
  </si>
  <si>
    <t>05 Asientos protectores</t>
  </si>
  <si>
    <t>06 Peatonal</t>
  </si>
  <si>
    <t>Se mantienen las ventanas y el mix peatonal. La cobertura del target debe validarse con los medios.</t>
  </si>
  <si>
    <t>08 Ciclista</t>
  </si>
  <si>
    <t>07 Motora</t>
  </si>
  <si>
    <t>03 Distracción</t>
  </si>
  <si>
    <t>09 Drogas</t>
  </si>
  <si>
    <t>Azul: importes editables de fuente. Las asignaciones se calculan desde los presupuestos por línea y la distribución original conservada.</t>
  </si>
  <si>
    <t>Calendarios nuevos: jóvenes, golpe de calor y PESET son propuestas de P2P. El resto conserva las ventanas del archivo recibido.</t>
  </si>
  <si>
    <t>Los programas y horarios TV/radio son referencias del archivo base. Unidades equivalentes no constituyen reservas ni colocaciones enteras contratadas.</t>
  </si>
  <si>
    <t>La meta de +10% requiere un KPI y una base de comparación acordados con CST. Estas entregas se calculan únicamente con inversión y tarifas de referencia.</t>
  </si>
  <si>
    <t>Tarifas de referencia</t>
  </si>
  <si>
    <t>Tarifas Gobierno. Incluyen el 15% sobre costo neto de pauta. Vigencia, disponibilidad y paquetes finales requieren confirmación.</t>
  </si>
  <si>
    <t>Medio / proveedor</t>
  </si>
  <si>
    <t>Unidad</t>
  </si>
  <si>
    <t>Tarifa</t>
  </si>
  <si>
    <t>Unidades por paquete</t>
  </si>
  <si>
    <t>Telemundo</t>
  </si>
  <si>
    <t>Dia a Dia</t>
  </si>
  <si>
    <t>Spot 60 s</t>
  </si>
  <si>
    <t>PR Gana 6pm (M,W,T,f,Su)</t>
  </si>
  <si>
    <t>WAPA</t>
  </si>
  <si>
    <t>Pegate al MedioDIa</t>
  </si>
  <si>
    <t>Reality-Funcion Estelar 7p</t>
  </si>
  <si>
    <t>TeleOnce</t>
  </si>
  <si>
    <t>PR en Vivo</t>
  </si>
  <si>
    <t>Las Noticias Prime</t>
  </si>
  <si>
    <t>Unica Radio-1230am</t>
  </si>
  <si>
    <t>ROS 7 a. m.–5 p. m.</t>
  </si>
  <si>
    <t>Cuña 30 s</t>
  </si>
  <si>
    <t>Radio Once-1120AM</t>
  </si>
  <si>
    <t>WAPA Radio-Borinquen</t>
  </si>
  <si>
    <t>WAEL-FM</t>
  </si>
  <si>
    <t>WABA-AM (Aguadilla)</t>
  </si>
  <si>
    <t>WHOY-AM (Salinas)</t>
  </si>
  <si>
    <t>WGDL-AM/FM (Lares/Aguadilla)</t>
  </si>
  <si>
    <t>WPRA-AM (Mayaguez)</t>
  </si>
  <si>
    <t>WISA-AM (Isabela)</t>
  </si>
  <si>
    <t>WCPR-AM (Coamo)</t>
  </si>
  <si>
    <t>WLPR-AM (SanSebastian)</t>
  </si>
  <si>
    <t>WENA-AM (Yauco)</t>
  </si>
  <si>
    <t>SuperK 106Fm (Arecibo)</t>
  </si>
  <si>
    <t>Radio Grito (Lares)-Hora del Grito 12md</t>
  </si>
  <si>
    <t>NotiUno (NORTE)-La Hornilla &amp; John Alma-Spots</t>
  </si>
  <si>
    <t>NotiUno (SUR-Ponce) ROS</t>
  </si>
  <si>
    <t>Planet</t>
  </si>
  <si>
    <t>10 puntos × 5 días</t>
  </si>
  <si>
    <t>Periodo de 5 días</t>
  </si>
  <si>
    <t>BMedia</t>
  </si>
  <si>
    <t>7 puntos × 5 días</t>
  </si>
  <si>
    <t>Uni-K Media</t>
  </si>
  <si>
    <t>5 puntos × 5 días</t>
  </si>
  <si>
    <t>Yes</t>
  </si>
  <si>
    <t>6 puntos × 5 días</t>
  </si>
  <si>
    <t>1,000 impresiones</t>
  </si>
  <si>
    <t>Vista completa</t>
  </si>
  <si>
    <t>1 video + 2 Stories</t>
  </si>
  <si>
    <t>Paquete de creador</t>
  </si>
  <si>
    <t>Fuente: pestaña Tarifas del archivo recibido el 28/09/2026. El archivo no indica fecha de cotización. No son tarifas recién confirmadas.</t>
  </si>
  <si>
    <t>TV: 6 programas. Radio: 18 emisoras. OOH: 4 redes, 28 puntos de referencia por bloque de 5 días. Creadores: 1 video + 2 Stories.</t>
  </si>
  <si>
    <t>Las tarifas digitales son supuestos de costo. No acreditan alcance, frecuencia, afinidad, vistas completas en YouTube ni resultados históricos.</t>
  </si>
  <si>
    <t>OOH: el flowchart base identifica Hello Media y la tabla Tarifas indica Uni-K Media para el mismo renglón de $2,300. Validar el nombre del proveedor.</t>
  </si>
  <si>
    <t>Radio: se conservan las excepciones del detalle del flowchart: Radio Grito, 12 m.; NotiUno Norte, La Hornilla / John Alma.</t>
  </si>
  <si>
    <t>Base de distribución del archivo recibido</t>
  </si>
  <si>
    <t>Fuente: Flowcharts_CST_2026-2027(2).xlsx, recibido el 28 de septiembre de 2026. Importes originales integrados al cliente.</t>
  </si>
  <si>
    <t>Campaña original</t>
  </si>
  <si>
    <t>Ventana original</t>
  </si>
  <si>
    <t>Importe original</t>
  </si>
  <si>
    <t>Celda de origen</t>
  </si>
  <si>
    <t>01 Alcohol!E11</t>
  </si>
  <si>
    <t>01 Alcohol!F11</t>
  </si>
  <si>
    <t>01 Alcohol!G11</t>
  </si>
  <si>
    <t>01 Alcohol!H11</t>
  </si>
  <si>
    <t>01 Alcohol!I11</t>
  </si>
  <si>
    <t>01 Alcohol!J11</t>
  </si>
  <si>
    <t>01 Alcohol!K11</t>
  </si>
  <si>
    <t>01 Alcohol!E12</t>
  </si>
  <si>
    <t>01 Alcohol!F12</t>
  </si>
  <si>
    <t>01 Alcohol!G12</t>
  </si>
  <si>
    <t>01 Alcohol!H12</t>
  </si>
  <si>
    <t>01 Alcohol!I12</t>
  </si>
  <si>
    <t>01 Alcohol!J12</t>
  </si>
  <si>
    <t>01 Alcohol!K12</t>
  </si>
  <si>
    <t>01 Alcohol!E13</t>
  </si>
  <si>
    <t>01 Alcohol!F13</t>
  </si>
  <si>
    <t>01 Alcohol!G13</t>
  </si>
  <si>
    <t>01 Alcohol!H13</t>
  </si>
  <si>
    <t>01 Alcohol!I13</t>
  </si>
  <si>
    <t>01 Alcohol!J13</t>
  </si>
  <si>
    <t>01 Alcohol!K13</t>
  </si>
  <si>
    <t>01 Alcohol!E14</t>
  </si>
  <si>
    <t>01 Alcohol!F14</t>
  </si>
  <si>
    <t>01 Alcohol!G14</t>
  </si>
  <si>
    <t>01 Alcohol!H14</t>
  </si>
  <si>
    <t>01 Alcohol!I14</t>
  </si>
  <si>
    <t>01 Alcohol!J14</t>
  </si>
  <si>
    <t>01 Alcohol!K14</t>
  </si>
  <si>
    <t>01 Alcohol!E15</t>
  </si>
  <si>
    <t>01 Alcohol!F15</t>
  </si>
  <si>
    <t>01 Alcohol!G15</t>
  </si>
  <si>
    <t>01 Alcohol!H15</t>
  </si>
  <si>
    <t>01 Alcohol!I15</t>
  </si>
  <si>
    <t>01 Alcohol!J15</t>
  </si>
  <si>
    <t>01 Alcohol!K15</t>
  </si>
  <si>
    <t>01 Alcohol!E16</t>
  </si>
  <si>
    <t>01 Alcohol!F16</t>
  </si>
  <si>
    <t>01 Alcohol!G16</t>
  </si>
  <si>
    <t>01 Alcohol!H16</t>
  </si>
  <si>
    <t>01 Alcohol!I16</t>
  </si>
  <si>
    <t>01 Alcohol!J16</t>
  </si>
  <si>
    <t>01 Alcohol!K16</t>
  </si>
  <si>
    <t>02 Velocidad!E11</t>
  </si>
  <si>
    <t>02 Velocidad!F11</t>
  </si>
  <si>
    <t>02 Velocidad!G11</t>
  </si>
  <si>
    <t>02 Velocidad!E12</t>
  </si>
  <si>
    <t>02 Velocidad!F12</t>
  </si>
  <si>
    <t>02 Velocidad!G12</t>
  </si>
  <si>
    <t>02 Velocidad!E13</t>
  </si>
  <si>
    <t>02 Velocidad!F13</t>
  </si>
  <si>
    <t>02 Velocidad!G13</t>
  </si>
  <si>
    <t>02 Velocidad!E14</t>
  </si>
  <si>
    <t>02 Velocidad!F14</t>
  </si>
  <si>
    <t>02 Velocidad!G14</t>
  </si>
  <si>
    <t>02 Velocidad!E15</t>
  </si>
  <si>
    <t>02 Velocidad!F15</t>
  </si>
  <si>
    <t>02 Velocidad!G15</t>
  </si>
  <si>
    <t>03 Distracción!E11</t>
  </si>
  <si>
    <t>03 Distracción!F11</t>
  </si>
  <si>
    <t>03 Distracción!E12</t>
  </si>
  <si>
    <t>03 Distracción!F12</t>
  </si>
  <si>
    <t>03 Distracción!E13</t>
  </si>
  <si>
    <t>03 Distracción!F13</t>
  </si>
  <si>
    <t>03 Distracción!E14</t>
  </si>
  <si>
    <t>03 Distracción!F14</t>
  </si>
  <si>
    <t>03 Distracción!E15</t>
  </si>
  <si>
    <t>03 Distracción!F15</t>
  </si>
  <si>
    <t>03 Distracción!E16</t>
  </si>
  <si>
    <t>03 Distracción!F16</t>
  </si>
  <si>
    <t>04 Cinturón!E11</t>
  </si>
  <si>
    <t>04 Cinturón!F11</t>
  </si>
  <si>
    <t>04 Cinturón!G11</t>
  </si>
  <si>
    <t>04 Cinturón!E12</t>
  </si>
  <si>
    <t>04 Cinturón!F12</t>
  </si>
  <si>
    <t>04 Cinturón!G12</t>
  </si>
  <si>
    <t>04 Cinturón!E13</t>
  </si>
  <si>
    <t>04 Cinturón!F13</t>
  </si>
  <si>
    <t>04 Cinturón!G13</t>
  </si>
  <si>
    <t>04 Cinturón!E14</t>
  </si>
  <si>
    <t>04 Cinturón!F14</t>
  </si>
  <si>
    <t>04 Cinturón!G14</t>
  </si>
  <si>
    <t>05 Asientos protectores!E11</t>
  </si>
  <si>
    <t>05 Asientos protectores!F11</t>
  </si>
  <si>
    <t>05 Asientos protectores!E12</t>
  </si>
  <si>
    <t>05 Asientos protectores!F12</t>
  </si>
  <si>
    <t>05 Asientos protectores!E13</t>
  </si>
  <si>
    <t>05 Asientos protectores!F13</t>
  </si>
  <si>
    <t>05 Asientos protectores!E14</t>
  </si>
  <si>
    <t>05 Asientos protectores!F14</t>
  </si>
  <si>
    <t>05 Asientos protectores!E15</t>
  </si>
  <si>
    <t>05 Asientos protectores!F15</t>
  </si>
  <si>
    <t>06 Peatonal!E11</t>
  </si>
  <si>
    <t>06 Peatonal!F11</t>
  </si>
  <si>
    <t>06 Peatonal!G11</t>
  </si>
  <si>
    <t>06 Peatonal!E12</t>
  </si>
  <si>
    <t>06 Peatonal!F12</t>
  </si>
  <si>
    <t>06 Peatonal!G12</t>
  </si>
  <si>
    <t>06 Peatonal!E13</t>
  </si>
  <si>
    <t>06 Peatonal!F13</t>
  </si>
  <si>
    <t>06 Peatonal!G13</t>
  </si>
  <si>
    <t>06 Peatonal!E14</t>
  </si>
  <si>
    <t>06 Peatonal!F14</t>
  </si>
  <si>
    <t>06 Peatonal!G14</t>
  </si>
  <si>
    <t>06 Peatonal!E15</t>
  </si>
  <si>
    <t>06 Peatonal!F15</t>
  </si>
  <si>
    <t>06 Peatonal!G15</t>
  </si>
  <si>
    <t>07 Motora!E11</t>
  </si>
  <si>
    <t>07 Motora!F11</t>
  </si>
  <si>
    <t>07 Motora!G11</t>
  </si>
  <si>
    <t>07 Motora!E12</t>
  </si>
  <si>
    <t>07 Motora!F12</t>
  </si>
  <si>
    <t>07 Motora!G12</t>
  </si>
  <si>
    <t>07 Motora!E13</t>
  </si>
  <si>
    <t>07 Motora!F13</t>
  </si>
  <si>
    <t>07 Motora!G13</t>
  </si>
  <si>
    <t>07 Motora!E14</t>
  </si>
  <si>
    <t>07 Motora!F14</t>
  </si>
  <si>
    <t>07 Motora!G14</t>
  </si>
  <si>
    <t>07 Motora!E15</t>
  </si>
  <si>
    <t>07 Motora!F15</t>
  </si>
  <si>
    <t>07 Motora!G15</t>
  </si>
  <si>
    <t>08 Ciclista!E11</t>
  </si>
  <si>
    <t>08 Ciclista!F11</t>
  </si>
  <si>
    <t>08 Ciclista!E12</t>
  </si>
  <si>
    <t>08 Ciclista!F12</t>
  </si>
  <si>
    <t>08 Ciclista!E13</t>
  </si>
  <si>
    <t>08 Ciclista!F13</t>
  </si>
  <si>
    <t>08 Ciclista!E14</t>
  </si>
  <si>
    <t>08 Ciclista!F14</t>
  </si>
  <si>
    <t>08 Ciclista!E15</t>
  </si>
  <si>
    <t>08 Ciclista!F15</t>
  </si>
  <si>
    <t>09 Drogas!E11</t>
  </si>
  <si>
    <t>09 Drogas!F11</t>
  </si>
  <si>
    <t>09 Drogas!E12</t>
  </si>
  <si>
    <t>09 Drogas!F12</t>
  </si>
  <si>
    <t>09 Drogas!E13</t>
  </si>
  <si>
    <t>09 Drogas!F13</t>
  </si>
  <si>
    <t>09 Drogas!E14</t>
  </si>
  <si>
    <t>09 Drogas!F14</t>
  </si>
  <si>
    <t>09 Drogas!E15</t>
  </si>
  <si>
    <t>09 Drogas!F15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</si>
</sst>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0.00\);&quot;—&quot;"/>
    <numFmt numFmtId="165" formatCode="\$0.000"/>
    <numFmt numFmtId="166" formatCode="0.0%"/>
    <numFmt numFmtId="167" formatCode="\$#,##0.000"/>
    <numFmt numFmtId="168" formatCode="#,##0.000&quot; eq.&quot;"/>
  </numFmts>
  <fonts count="10">
    <font>
      <sz val="11"/>
      <name val="Carlito"/>
    </font>
    <font>
      <sz val="10"/>
      <color rgb="FF192849"/>
      <name val="Mollen-Regular"/>
    </font>
    <font>
      <sz val="11"/>
      <name val="Mollen-Regular"/>
    </font>
    <font>
      <b/>
      <sz val="16"/>
      <color rgb="FF192667"/>
      <name val="Mollen-Regular"/>
    </font>
    <font>
      <sz val="10"/>
      <color rgb="FF60718D"/>
      <name val="Mollen-Regular"/>
    </font>
    <font>
      <b/>
      <sz val="16"/>
      <color rgb="FF7025ED"/>
      <name val="Mollen-Regular"/>
    </font>
    <font>
      <b/>
      <sz val="10"/>
      <color rgb="FFFFFFFF"/>
      <name val="Mollen-Regular"/>
    </font>
    <font>
      <b/>
      <sz val="10"/>
      <color rgb="FF192667"/>
      <name val="Mollen-Regular"/>
    </font>
    <font>
      <sz val="10"/>
      <color rgb="FF0000FF"/>
      <name val="Mollen-Regular"/>
    </font>
    <font>
      <b/>
      <sz val="14"/>
      <color rgb="FF7025ED"/>
      <name val="Mollen-Regular"/>
    </font>
  </fonts>
  <fills count="5">
    <fill>
      <patternFill patternType="none"/>
    </fill>
    <fill>
      <patternFill patternType="gray125"/>
    </fill>
    <fill>
      <patternFill patternType="solid">
        <fgColor rgb="FF00B8EF"/>
      </patternFill>
    </fill>
    <fill>
      <patternFill patternType="solid">
        <fgColor rgb="FF192667"/>
      </patternFill>
    </fill>
    <fill>
      <patternFill patternType="solid">
        <fgColor rgb="FFEEF2FA"/>
      </patternFill>
    </fill>
  </fills>
  <borders count="5">
    <border>
      <left/>
      <right/>
      <top/>
      <bottom/>
      <diagonal/>
    </border>
    <border>
      <left/>
      <right style="thin">
        <color rgb="FFFFFFFF"/>
      </right>
      <top/>
      <bottom/>
      <diagonal/>
    </border>
    <border>
      <left style="thin">
        <color rgb="FFFFFFFF"/>
      </left>
      <right style="thin">
        <color rgb="FFFFFFFF"/>
      </right>
      <top/>
      <bottom/>
      <diagonal/>
    </border>
    <border>
      <left style="thin">
        <color rgb="FFFFFFFF"/>
      </left>
      <right/>
      <top/>
      <bottom/>
      <diagonal/>
    </border>
    <border>
      <left/>
      <right/>
      <top style="thin">
        <color rgb="FF00B8EF"/>
      </top>
      <bottom/>
      <diagonal/>
    </border>
  </borders>
  <cellStyleXfs count="1">
    <xf numFmtId="0" fontId="0" fillId="0" borderId="0"/>
  </cellStyleXfs>
  <cellXfs count="52">
    <xf numFmtId="0" fontId="0" fillId="0" borderId="0" xfId="0"/>
    <xf numFmtId="0" fontId="1" fillId="0" borderId="0" xfId="0" applyFont="1"/>
    <xf numFmtId="0" fontId="2" fillId="0" borderId="0" xfId="0" applyFont="1"/>
    <xf numFmtId="0" fontId="1" fillId="2" borderId="0" xfId="0" applyFont="1" applyFill="1"/>
    <xf numFmtId="164" fontId="5" fillId="0" borderId="0" xfId="0" applyNumberFormat="1" applyFont="1"/>
    <xf numFmtId="2" fontId="1" fillId="0" borderId="0" xfId="0" applyNumberFormat="1" applyFont="1"/>
    <xf numFmtId="0" fontId="6" fillId="3"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1" fillId="0" borderId="0" xfId="0" applyFont="1" applyAlignment="1">
      <alignment vertical="center"/>
    </xf>
    <xf numFmtId="0" fontId="1" fillId="0" borderId="0" xfId="0" applyFont="1" applyAlignment="1">
      <alignment vertical="center" wrapText="1"/>
    </xf>
    <xf numFmtId="164" fontId="1" fillId="0" borderId="0" xfId="0" applyNumberFormat="1" applyFont="1" applyAlignment="1">
      <alignment vertical="center"/>
    </xf>
    <xf numFmtId="2" fontId="1" fillId="0" borderId="0" xfId="0" applyNumberFormat="1" applyFont="1" applyAlignment="1">
      <alignment vertical="center"/>
    </xf>
    <xf numFmtId="166" fontId="1" fillId="0" borderId="0" xfId="0" applyNumberFormat="1" applyFont="1" applyAlignment="1">
      <alignment vertical="center"/>
    </xf>
    <xf numFmtId="0" fontId="1" fillId="4" borderId="0" xfId="0" applyFont="1" applyFill="1" applyAlignment="1">
      <alignment vertical="center"/>
    </xf>
    <xf numFmtId="0" fontId="1" fillId="4" borderId="0" xfId="0" applyFont="1" applyFill="1" applyAlignment="1">
      <alignment vertical="center" wrapText="1"/>
    </xf>
    <xf numFmtId="164" fontId="1" fillId="4" borderId="0" xfId="0" applyNumberFormat="1" applyFont="1" applyFill="1" applyAlignment="1">
      <alignment vertical="center"/>
    </xf>
    <xf numFmtId="2" fontId="1" fillId="4" borderId="0" xfId="0" applyNumberFormat="1" applyFont="1" applyFill="1" applyAlignment="1">
      <alignment vertical="center"/>
    </xf>
    <xf numFmtId="166" fontId="1" fillId="4" borderId="0" xfId="0" applyNumberFormat="1" applyFont="1" applyFill="1" applyAlignment="1">
      <alignment vertical="center"/>
    </xf>
    <xf numFmtId="0" fontId="7" fillId="0" borderId="4" xfId="0" applyFont="1" applyBorder="1"/>
    <xf numFmtId="164" fontId="7" fillId="0" borderId="4" xfId="0" applyNumberFormat="1" applyFont="1" applyBorder="1"/>
    <xf numFmtId="2" fontId="7" fillId="0" borderId="4" xfId="0" applyNumberFormat="1" applyFont="1" applyBorder="1"/>
    <xf numFmtId="166" fontId="7" fillId="0" borderId="4" xfId="0" applyNumberFormat="1" applyFont="1" applyBorder="1"/>
    <xf numFmtId="164" fontId="8" fillId="0" borderId="0" xfId="0" applyNumberFormat="1" applyFont="1" applyAlignment="1">
      <alignment vertical="center"/>
    </xf>
    <xf numFmtId="164" fontId="8" fillId="4" borderId="0" xfId="0" applyNumberFormat="1" applyFont="1" applyFill="1" applyAlignment="1">
      <alignment vertical="center"/>
    </xf>
    <xf numFmtId="165" fontId="8" fillId="0" borderId="0" xfId="0" applyNumberFormat="1" applyFont="1" applyAlignment="1">
      <alignment vertical="center"/>
    </xf>
    <xf numFmtId="0" fontId="8" fillId="0" borderId="0" xfId="0" applyFont="1" applyAlignment="1">
      <alignment vertical="center"/>
    </xf>
    <xf numFmtId="165" fontId="8" fillId="4" borderId="0" xfId="0" applyNumberFormat="1" applyFont="1" applyFill="1" applyAlignment="1">
      <alignment vertical="center"/>
    </xf>
    <xf numFmtId="0" fontId="8" fillId="4" borderId="0" xfId="0" applyFont="1" applyFill="1" applyAlignment="1">
      <alignment vertical="center"/>
    </xf>
    <xf numFmtId="166" fontId="1" fillId="0" borderId="0" xfId="0" applyNumberFormat="1" applyFont="1"/>
    <xf numFmtId="164" fontId="8" fillId="0" borderId="0" xfId="0" applyNumberFormat="1" applyFont="1" applyAlignment="1">
      <alignment vertical="center" wrapText="1"/>
    </xf>
    <xf numFmtId="164" fontId="8" fillId="4" borderId="0" xfId="0" applyNumberFormat="1" applyFont="1" applyFill="1" applyAlignment="1">
      <alignment vertical="center" wrapText="1"/>
    </xf>
    <xf numFmtId="164" fontId="9" fillId="0" borderId="0" xfId="0" applyNumberFormat="1" applyFont="1"/>
    <xf numFmtId="164" fontId="1" fillId="0" borderId="0" xfId="0" applyNumberFormat="1" applyFont="1"/>
    <xf numFmtId="0" fontId="7" fillId="0" borderId="4" xfId="0" applyFont="1" applyBorder="1" applyAlignment="1">
      <alignment wrapText="1"/>
    </xf>
    <xf numFmtId="164" fontId="2" fillId="0" borderId="0" xfId="0" applyNumberFormat="1" applyFont="1"/>
    <xf numFmtId="167" fontId="1" fillId="0" borderId="0" xfId="0" applyNumberFormat="1" applyFont="1" applyAlignment="1">
      <alignment vertical="center"/>
    </xf>
    <xf numFmtId="168" fontId="1" fillId="0" borderId="0" xfId="0" applyNumberFormat="1" applyFont="1" applyAlignment="1">
      <alignment vertical="center"/>
    </xf>
    <xf numFmtId="167" fontId="1" fillId="4" borderId="0" xfId="0" applyNumberFormat="1" applyFont="1" applyFill="1" applyAlignment="1">
      <alignment vertical="center"/>
    </xf>
    <xf numFmtId="168" fontId="1" fillId="4" borderId="0" xfId="0" applyNumberFormat="1" applyFont="1" applyFill="1" applyAlignment="1">
      <alignment vertical="center"/>
    </xf>
    <xf numFmtId="3" fontId="1" fillId="0" borderId="0" xfId="0" applyNumberFormat="1" applyFont="1" applyAlignment="1">
      <alignment vertical="center"/>
    </xf>
    <xf numFmtId="3" fontId="1" fillId="4" borderId="0" xfId="0" applyNumberFormat="1" applyFont="1" applyFill="1" applyAlignment="1">
      <alignment vertical="center"/>
    </xf>
    <xf numFmtId="2" fontId="2" fillId="0" borderId="0" xfId="0" applyNumberFormat="1" applyFont="1"/>
    <xf numFmtId="3" fontId="1" fillId="0" borderId="0" xfId="0" applyNumberFormat="1" applyFont="1" applyAlignment="1">
      <alignment vertical="center" wrapText="1"/>
    </xf>
    <xf numFmtId="3" fontId="1" fillId="4" borderId="0" xfId="0" applyNumberFormat="1" applyFont="1" applyFill="1" applyAlignment="1">
      <alignment vertical="center" wrapText="1"/>
    </xf>
    <xf numFmtId="0" fontId="4" fillId="0" borderId="0" xfId="0" applyFont="1" applyAlignment="1">
      <alignment vertical="center" wrapText="1"/>
    </xf>
    <xf numFmtId="0" fontId="3" fillId="0" borderId="0" xfId="0" applyFont="1" applyAlignment="1">
      <alignment vertical="center"/>
    </xf>
    <xf numFmtId="0" fontId="6" fillId="3" borderId="0" xfId="0" applyFont="1" applyFill="1" applyAlignment="1">
      <alignment vertical="center"/>
    </xf>
    <xf numFmtId="0" fontId="1" fillId="0" borderId="0" xfId="0" applyFont="1" applyAlignment="1">
      <alignment vertical="center" wrapText="1"/>
    </xf>
    <xf numFmtId="0" fontId="1" fillId="4" borderId="0" xfId="0" applyFont="1" applyFill="1" applyAlignment="1">
      <alignment vertical="center" wrapText="1"/>
    </xf>
    <xf numFmtId="0" fontId="6" fillId="3" borderId="3" xfId="0" applyFont="1" applyFill="1" applyBorder="1" applyAlignment="1">
      <alignment horizontal="center" vertical="center" wrapText="1"/>
    </xf>
    <xf numFmtId="0" fontId="2" fillId="0" borderId="0" xfId="0" applyFont="1" applyAlignment="1"/>
  </cellXfs>
  <cellStyles count="1">
    <cellStyle name="Normal" xfId="0" builtinId="0"/>
  </cellStyles>
  <dxfs count="1">
    <dxf>
      <font>
        <b/>
        <color rgb="FF9C0006"/>
      </font>
      <fill>
        <patternFill patternType="solid">
          <bgColor rgb="FFFDE4E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251619</xdr:colOff>
      <xdr:row>3</xdr:row>
      <xdr:rowOff>107174</xdr:rowOff>
    </xdr:from>
    <xdr:to>
      <xdr:col>10</xdr:col>
      <xdr:colOff>1051719</xdr:colOff>
      <xdr:row>7</xdr:row>
      <xdr:rowOff>794</xdr:rowOff>
    </xdr:to>
    <xdr:pic>
      <xdr:nvPicPr>
        <xdr:cNvPr id="3" name="Picture 2">
          <a:extLst>
            <a:ext uri="{FF2B5EF4-FFF2-40B4-BE49-F238E27FC236}">
              <a16:creationId xmlns:a16="http://schemas.microsoft.com/office/drawing/2014/main" id="{E34B0EF2-AA4A-E024-1472-7036BF1D4F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85057" y="762018"/>
          <a:ext cx="800100" cy="9651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317500</xdr:colOff>
      <xdr:row>3</xdr:row>
      <xdr:rowOff>279400</xdr:rowOff>
    </xdr:from>
    <xdr:to>
      <xdr:col>13</xdr:col>
      <xdr:colOff>1117600</xdr:colOff>
      <xdr:row>7</xdr:row>
      <xdr:rowOff>215882</xdr:rowOff>
    </xdr:to>
    <xdr:pic>
      <xdr:nvPicPr>
        <xdr:cNvPr id="2" name="Picture 1">
          <a:extLst>
            <a:ext uri="{FF2B5EF4-FFF2-40B4-BE49-F238E27FC236}">
              <a16:creationId xmlns:a16="http://schemas.microsoft.com/office/drawing/2014/main" id="{0297E4D6-2619-674B-90E7-94D120DCF6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38700" y="927100"/>
          <a:ext cx="800100" cy="96518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177800</xdr:colOff>
      <xdr:row>3</xdr:row>
      <xdr:rowOff>215900</xdr:rowOff>
    </xdr:from>
    <xdr:to>
      <xdr:col>14</xdr:col>
      <xdr:colOff>977900</xdr:colOff>
      <xdr:row>7</xdr:row>
      <xdr:rowOff>152382</xdr:rowOff>
    </xdr:to>
    <xdr:pic>
      <xdr:nvPicPr>
        <xdr:cNvPr id="2" name="Picture 1">
          <a:extLst>
            <a:ext uri="{FF2B5EF4-FFF2-40B4-BE49-F238E27FC236}">
              <a16:creationId xmlns:a16="http://schemas.microsoft.com/office/drawing/2014/main" id="{AF8EB8E6-64D6-BA43-B222-729DCE453F9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8618200" y="863600"/>
          <a:ext cx="800100" cy="96518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13</xdr:col>
      <xdr:colOff>279400</xdr:colOff>
      <xdr:row>3</xdr:row>
      <xdr:rowOff>139700</xdr:rowOff>
    </xdr:from>
    <xdr:to>
      <xdr:col>13</xdr:col>
      <xdr:colOff>1079500</xdr:colOff>
      <xdr:row>7</xdr:row>
      <xdr:rowOff>76182</xdr:rowOff>
    </xdr:to>
    <xdr:pic>
      <xdr:nvPicPr>
        <xdr:cNvPr id="2" name="Picture 1">
          <a:extLst>
            <a:ext uri="{FF2B5EF4-FFF2-40B4-BE49-F238E27FC236}">
              <a16:creationId xmlns:a16="http://schemas.microsoft.com/office/drawing/2014/main" id="{0517A353-8D56-A247-8B93-8F00447F2E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00600" y="787400"/>
          <a:ext cx="800100" cy="96518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13</xdr:col>
      <xdr:colOff>279400</xdr:colOff>
      <xdr:row>3</xdr:row>
      <xdr:rowOff>292100</xdr:rowOff>
    </xdr:from>
    <xdr:to>
      <xdr:col>13</xdr:col>
      <xdr:colOff>1079500</xdr:colOff>
      <xdr:row>7</xdr:row>
      <xdr:rowOff>228582</xdr:rowOff>
    </xdr:to>
    <xdr:pic>
      <xdr:nvPicPr>
        <xdr:cNvPr id="2" name="Picture 1">
          <a:extLst>
            <a:ext uri="{FF2B5EF4-FFF2-40B4-BE49-F238E27FC236}">
              <a16:creationId xmlns:a16="http://schemas.microsoft.com/office/drawing/2014/main" id="{DEBEEDAA-20D0-A24B-BDAC-3E3F06B042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00600" y="939800"/>
          <a:ext cx="800100" cy="96518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355600</xdr:colOff>
      <xdr:row>4</xdr:row>
      <xdr:rowOff>12700</xdr:rowOff>
    </xdr:from>
    <xdr:to>
      <xdr:col>13</xdr:col>
      <xdr:colOff>1155700</xdr:colOff>
      <xdr:row>7</xdr:row>
      <xdr:rowOff>330182</xdr:rowOff>
    </xdr:to>
    <xdr:pic>
      <xdr:nvPicPr>
        <xdr:cNvPr id="2" name="Picture 1">
          <a:extLst>
            <a:ext uri="{FF2B5EF4-FFF2-40B4-BE49-F238E27FC236}">
              <a16:creationId xmlns:a16="http://schemas.microsoft.com/office/drawing/2014/main" id="{CADA76F5-D6D7-C848-B064-627E93EB89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76800" y="1041400"/>
          <a:ext cx="800100" cy="96518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13</xdr:col>
      <xdr:colOff>393700</xdr:colOff>
      <xdr:row>3</xdr:row>
      <xdr:rowOff>279400</xdr:rowOff>
    </xdr:from>
    <xdr:to>
      <xdr:col>13</xdr:col>
      <xdr:colOff>1193800</xdr:colOff>
      <xdr:row>7</xdr:row>
      <xdr:rowOff>215882</xdr:rowOff>
    </xdr:to>
    <xdr:pic>
      <xdr:nvPicPr>
        <xdr:cNvPr id="2" name="Picture 1">
          <a:extLst>
            <a:ext uri="{FF2B5EF4-FFF2-40B4-BE49-F238E27FC236}">
              <a16:creationId xmlns:a16="http://schemas.microsoft.com/office/drawing/2014/main" id="{8A23A69A-DB48-E047-8963-377CE31449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614900" y="927100"/>
          <a:ext cx="800100" cy="96518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13</xdr:col>
      <xdr:colOff>292100</xdr:colOff>
      <xdr:row>4</xdr:row>
      <xdr:rowOff>38100</xdr:rowOff>
    </xdr:from>
    <xdr:to>
      <xdr:col>13</xdr:col>
      <xdr:colOff>1092200</xdr:colOff>
      <xdr:row>7</xdr:row>
      <xdr:rowOff>355582</xdr:rowOff>
    </xdr:to>
    <xdr:pic>
      <xdr:nvPicPr>
        <xdr:cNvPr id="2" name="Picture 1">
          <a:extLst>
            <a:ext uri="{FF2B5EF4-FFF2-40B4-BE49-F238E27FC236}">
              <a16:creationId xmlns:a16="http://schemas.microsoft.com/office/drawing/2014/main" id="{49880308-D851-DB48-B81D-21570E46E1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13300" y="1066800"/>
          <a:ext cx="800100" cy="96518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292100</xdr:colOff>
      <xdr:row>3</xdr:row>
      <xdr:rowOff>304800</xdr:rowOff>
    </xdr:from>
    <xdr:to>
      <xdr:col>13</xdr:col>
      <xdr:colOff>1092200</xdr:colOff>
      <xdr:row>7</xdr:row>
      <xdr:rowOff>241282</xdr:rowOff>
    </xdr:to>
    <xdr:pic>
      <xdr:nvPicPr>
        <xdr:cNvPr id="2" name="Picture 1">
          <a:extLst>
            <a:ext uri="{FF2B5EF4-FFF2-40B4-BE49-F238E27FC236}">
              <a16:creationId xmlns:a16="http://schemas.microsoft.com/office/drawing/2014/main" id="{18FF4D39-BBEF-6943-93DD-035F5D9ECD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13300" y="952500"/>
          <a:ext cx="800100" cy="96518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330200</xdr:colOff>
      <xdr:row>3</xdr:row>
      <xdr:rowOff>266700</xdr:rowOff>
    </xdr:from>
    <xdr:to>
      <xdr:col>13</xdr:col>
      <xdr:colOff>1130300</xdr:colOff>
      <xdr:row>7</xdr:row>
      <xdr:rowOff>203182</xdr:rowOff>
    </xdr:to>
    <xdr:pic>
      <xdr:nvPicPr>
        <xdr:cNvPr id="2" name="Picture 1">
          <a:extLst>
            <a:ext uri="{FF2B5EF4-FFF2-40B4-BE49-F238E27FC236}">
              <a16:creationId xmlns:a16="http://schemas.microsoft.com/office/drawing/2014/main" id="{1E30382A-971F-6840-B1CF-143C4C008EA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51400" y="914400"/>
          <a:ext cx="800100" cy="96518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292100</xdr:colOff>
      <xdr:row>3</xdr:row>
      <xdr:rowOff>127000</xdr:rowOff>
    </xdr:from>
    <xdr:to>
      <xdr:col>6</xdr:col>
      <xdr:colOff>1092200</xdr:colOff>
      <xdr:row>5</xdr:row>
      <xdr:rowOff>469882</xdr:rowOff>
    </xdr:to>
    <xdr:pic>
      <xdr:nvPicPr>
        <xdr:cNvPr id="2" name="Picture 1">
          <a:extLst>
            <a:ext uri="{FF2B5EF4-FFF2-40B4-BE49-F238E27FC236}">
              <a16:creationId xmlns:a16="http://schemas.microsoft.com/office/drawing/2014/main" id="{90EFEC6C-9401-0840-BF27-5A6BF0D780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93300" y="774700"/>
          <a:ext cx="800100" cy="965182"/>
        </a:xfrm>
        <a:prstGeom prst="rect">
          <a:avLst/>
        </a:prstGeom>
      </xdr:spPr>
    </xdr:pic>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92667"/>
  </sheetPr>
  <dimension ref="A1:N37"/>
  <sheetViews>
    <sheetView showGridLines="0" tabSelected="1" zoomScale="64" workbookViewId="0">
      <selection activeCell="B24" sqref="B24"/>
    </sheetView>
  </sheetViews>
  <sheetFormatPr defaultColWidth="8.875" defaultRowHeight="15"/>
  <cols>
    <col min="1" max="1" width="3" style="2" customWidth="1"/>
    <col min="2" max="2" width="32" style="2" customWidth="1"/>
    <col min="3" max="3" width="28" style="2" customWidth="1"/>
    <col min="4" max="4" width="19" style="2" customWidth="1"/>
    <col min="5" max="14" width="16" style="2" customWidth="1"/>
    <col min="15" max="16384" width="8.875" style="2"/>
  </cols>
  <sheetData>
    <row r="1" spans="1:14">
      <c r="A1" s="1"/>
      <c r="B1" s="1"/>
      <c r="C1" s="1"/>
      <c r="D1" s="1"/>
      <c r="E1" s="1"/>
      <c r="F1" s="1"/>
      <c r="G1" s="1"/>
      <c r="H1" s="1"/>
      <c r="I1" s="1"/>
      <c r="J1" s="1"/>
      <c r="K1" s="1"/>
      <c r="L1" s="1"/>
      <c r="M1" s="1"/>
      <c r="N1" s="1"/>
    </row>
    <row r="2" spans="1:14" ht="32.1" customHeight="1">
      <c r="A2" s="1"/>
      <c r="B2" s="46" t="s">
        <v>0</v>
      </c>
      <c r="C2" s="46"/>
      <c r="D2" s="46"/>
      <c r="E2" s="46"/>
      <c r="F2" s="46"/>
      <c r="G2" s="46"/>
      <c r="H2" s="46"/>
      <c r="I2" s="46"/>
      <c r="J2" s="46"/>
      <c r="K2" s="46"/>
      <c r="L2" s="46"/>
      <c r="M2" s="46"/>
      <c r="N2" s="46"/>
    </row>
    <row r="3" spans="1:14" ht="3.95" customHeight="1">
      <c r="A3" s="1"/>
      <c r="B3" s="3"/>
      <c r="C3" s="3"/>
      <c r="D3" s="3"/>
      <c r="E3" s="3"/>
      <c r="F3" s="3"/>
      <c r="G3" s="3"/>
      <c r="H3" s="3"/>
      <c r="I3" s="3"/>
      <c r="J3" s="3"/>
      <c r="K3" s="3"/>
      <c r="L3" s="3"/>
      <c r="M3" s="3"/>
      <c r="N3" s="3"/>
    </row>
    <row r="4" spans="1:14" ht="30" customHeight="1">
      <c r="A4" s="1"/>
      <c r="B4" s="45" t="s">
        <v>1</v>
      </c>
      <c r="C4" s="45"/>
      <c r="D4" s="45"/>
      <c r="E4" s="45"/>
      <c r="F4" s="45"/>
      <c r="G4" s="45"/>
      <c r="H4" s="45"/>
      <c r="I4" s="45"/>
      <c r="J4" s="45"/>
      <c r="K4" s="45"/>
      <c r="L4" s="45"/>
      <c r="M4" s="45"/>
      <c r="N4" s="45"/>
    </row>
    <row r="5" spans="1:14">
      <c r="A5" s="1"/>
      <c r="B5" s="1"/>
      <c r="C5" s="1"/>
      <c r="D5" s="1"/>
      <c r="E5" s="1"/>
      <c r="F5" s="1"/>
      <c r="G5" s="1"/>
      <c r="H5" s="1"/>
      <c r="I5" s="1"/>
      <c r="J5" s="1"/>
      <c r="K5" s="1"/>
      <c r="L5" s="1"/>
      <c r="M5" s="1"/>
      <c r="N5" s="1"/>
    </row>
    <row r="6" spans="1:14" ht="23.1">
      <c r="A6" s="1"/>
      <c r="B6" s="1" t="s">
        <v>2</v>
      </c>
      <c r="C6" s="4">
        <f>SUM(D10:D18)</f>
        <v>3763000</v>
      </c>
      <c r="D6" s="1"/>
      <c r="E6" s="1" t="s">
        <v>3</v>
      </c>
      <c r="F6" s="5">
        <f>SUM(E10:E18)</f>
        <v>0</v>
      </c>
      <c r="G6" s="1"/>
      <c r="H6" s="1"/>
      <c r="I6" s="1"/>
      <c r="J6" s="1"/>
      <c r="K6" s="1"/>
      <c r="L6" s="1"/>
      <c r="M6" s="1"/>
      <c r="N6" s="1"/>
    </row>
    <row r="7" spans="1:14">
      <c r="A7" s="1"/>
      <c r="B7" s="1"/>
      <c r="C7" s="1"/>
      <c r="D7" s="1"/>
      <c r="E7" s="1"/>
      <c r="F7" s="1"/>
      <c r="G7" s="1"/>
      <c r="H7" s="1"/>
      <c r="I7" s="1"/>
      <c r="J7" s="1"/>
      <c r="K7" s="1"/>
      <c r="L7" s="1"/>
      <c r="M7" s="1"/>
      <c r="N7" s="1"/>
    </row>
    <row r="8" spans="1:14">
      <c r="A8" s="1"/>
      <c r="B8" s="1"/>
      <c r="C8" s="1"/>
      <c r="D8" s="1"/>
      <c r="E8" s="1"/>
      <c r="F8" s="1"/>
      <c r="G8" s="1"/>
      <c r="H8" s="1"/>
      <c r="I8" s="1"/>
      <c r="J8" s="1"/>
      <c r="K8" s="1"/>
      <c r="L8" s="1"/>
      <c r="M8" s="1"/>
      <c r="N8" s="1"/>
    </row>
    <row r="9" spans="1:14" ht="42" customHeight="1">
      <c r="B9" s="6" t="s">
        <v>4</v>
      </c>
      <c r="C9" s="7" t="s">
        <v>5</v>
      </c>
      <c r="D9" s="7" t="s">
        <v>6</v>
      </c>
      <c r="E9" s="7" t="s">
        <v>7</v>
      </c>
      <c r="F9" s="7" t="s">
        <v>8</v>
      </c>
      <c r="G9" s="7" t="s">
        <v>9</v>
      </c>
      <c r="H9" s="7" t="s">
        <v>10</v>
      </c>
      <c r="I9" s="7" t="s">
        <v>11</v>
      </c>
      <c r="J9" s="7" t="s">
        <v>12</v>
      </c>
      <c r="K9" s="8" t="s">
        <v>13</v>
      </c>
    </row>
    <row r="10" spans="1:14" ht="39" customHeight="1">
      <c r="B10" s="9" t="s">
        <v>14</v>
      </c>
      <c r="C10" s="10" t="s">
        <v>15</v>
      </c>
      <c r="D10" s="11">
        <f>'01 Alcohol adultos'!L12</f>
        <v>1625000</v>
      </c>
      <c r="E10" s="12">
        <f>ROUND('AGA y criterios'!D9-D10,2)</f>
        <v>0</v>
      </c>
      <c r="F10" s="11">
        <f>'01 Alcohol adultos'!D12</f>
        <v>474381.94</v>
      </c>
      <c r="G10" s="11">
        <f>'01 Alcohol adultos'!E12</f>
        <v>150896.75</v>
      </c>
      <c r="H10" s="11">
        <f>'01 Alcohol adultos'!F12</f>
        <v>0</v>
      </c>
      <c r="I10" s="11">
        <f>SUM('01 Alcohol adultos'!G12:J12)</f>
        <v>919448.51</v>
      </c>
      <c r="J10" s="11">
        <f>'01 Alcohol adultos'!K12</f>
        <v>80272.800000000003</v>
      </c>
      <c r="K10" s="13">
        <f t="shared" ref="K10:K18" si="0">D10/$C$6</f>
        <v>0.4318363008238108</v>
      </c>
    </row>
    <row r="11" spans="1:14" ht="39" customHeight="1">
      <c r="B11" s="14" t="s">
        <v>16</v>
      </c>
      <c r="C11" s="15" t="s">
        <v>17</v>
      </c>
      <c r="D11" s="16">
        <f>'02 Alcohol jóvenes'!L12</f>
        <v>194999.99999999997</v>
      </c>
      <c r="E11" s="17">
        <f>ROUND('AGA y criterios'!D10-D11,2)</f>
        <v>0</v>
      </c>
      <c r="F11" s="16">
        <f>'02 Alcohol jóvenes'!D12</f>
        <v>56925.819999999992</v>
      </c>
      <c r="G11" s="16">
        <f>'02 Alcohol jóvenes'!E12</f>
        <v>18107.62</v>
      </c>
      <c r="H11" s="16">
        <f>'02 Alcohol jóvenes'!F12</f>
        <v>0</v>
      </c>
      <c r="I11" s="16">
        <f>SUM('02 Alcohol jóvenes'!G12:J12)</f>
        <v>110333.81999999999</v>
      </c>
      <c r="J11" s="16">
        <f>'02 Alcohol jóvenes'!K12</f>
        <v>9632.74</v>
      </c>
      <c r="K11" s="18">
        <f t="shared" si="0"/>
        <v>5.1820356098857288E-2</v>
      </c>
    </row>
    <row r="12" spans="1:14" ht="39" customHeight="1">
      <c r="B12" s="9" t="s">
        <v>18</v>
      </c>
      <c r="C12" s="10" t="s">
        <v>19</v>
      </c>
      <c r="D12" s="11">
        <f>'03 Velocidad y agresividad'!L13</f>
        <v>330000</v>
      </c>
      <c r="E12" s="12">
        <f>ROUND('AGA y criterios'!D11-D12,2)</f>
        <v>0</v>
      </c>
      <c r="F12" s="11">
        <f>'03 Velocidad y agresividad'!D13</f>
        <v>98120.03</v>
      </c>
      <c r="G12" s="11">
        <f>'03 Velocidad y agresividad'!E13</f>
        <v>47144.070000000007</v>
      </c>
      <c r="H12" s="11">
        <f>'03 Velocidad y agresividad'!F13</f>
        <v>43708.5</v>
      </c>
      <c r="I12" s="11">
        <f>SUM('03 Velocidad y agresividad'!G13:J13)</f>
        <v>141027.4</v>
      </c>
      <c r="J12" s="11">
        <f>'03 Velocidad y agresividad'!K13</f>
        <v>0</v>
      </c>
      <c r="K12" s="13">
        <f t="shared" si="0"/>
        <v>8.7695987244220036E-2</v>
      </c>
    </row>
    <row r="13" spans="1:14" ht="39" customHeight="1">
      <c r="B13" s="14" t="s">
        <v>20</v>
      </c>
      <c r="C13" s="15" t="s">
        <v>21</v>
      </c>
      <c r="D13" s="16">
        <f>'04 Protección al ocupante'!L14</f>
        <v>625000</v>
      </c>
      <c r="E13" s="17">
        <f>ROUND('AGA y criterios'!D12-D13,2)</f>
        <v>0</v>
      </c>
      <c r="F13" s="16">
        <f>'04 Protección al ocupante'!D14</f>
        <v>215084.05</v>
      </c>
      <c r="G13" s="16">
        <f>'04 Protección al ocupante'!E14</f>
        <v>53572.81</v>
      </c>
      <c r="H13" s="16">
        <f>'04 Protección al ocupante'!F14</f>
        <v>0</v>
      </c>
      <c r="I13" s="16">
        <f>SUM('04 Protección al ocupante'!G14:J14)</f>
        <v>319294.18</v>
      </c>
      <c r="J13" s="16">
        <f>'04 Protección al ocupante'!K14</f>
        <v>37048.959999999999</v>
      </c>
      <c r="K13" s="18">
        <f t="shared" si="0"/>
        <v>0.16609088493223492</v>
      </c>
    </row>
    <row r="14" spans="1:14" ht="39" customHeight="1">
      <c r="B14" s="9" t="s">
        <v>22</v>
      </c>
      <c r="C14" s="10" t="s">
        <v>23</v>
      </c>
      <c r="D14" s="11">
        <f>'05 No motorizados'!L15</f>
        <v>400000.00000000006</v>
      </c>
      <c r="E14" s="12">
        <f>ROUND('AGA y criterios'!D13-D14,2)</f>
        <v>0</v>
      </c>
      <c r="F14" s="11">
        <f>'05 No motorizados'!D15</f>
        <v>116770.92</v>
      </c>
      <c r="G14" s="11">
        <f>'05 No motorizados'!E15</f>
        <v>55715.700000000004</v>
      </c>
      <c r="H14" s="11">
        <f>'05 No motorizados'!F15</f>
        <v>52980</v>
      </c>
      <c r="I14" s="11">
        <f>SUM('05 No motorizados'!G15:J15)</f>
        <v>159713.79999999999</v>
      </c>
      <c r="J14" s="11">
        <f>'05 No motorizados'!K15</f>
        <v>14819.58</v>
      </c>
      <c r="K14" s="13">
        <f t="shared" si="0"/>
        <v>0.10629816635663036</v>
      </c>
    </row>
    <row r="15" spans="1:14" ht="39" customHeight="1">
      <c r="B15" s="14" t="s">
        <v>24</v>
      </c>
      <c r="C15" s="15" t="s">
        <v>25</v>
      </c>
      <c r="D15" s="16">
        <f>'06 Motocicletas'!L13</f>
        <v>198000</v>
      </c>
      <c r="E15" s="17">
        <f>ROUND('AGA y criterios'!D14-D15,2)</f>
        <v>0</v>
      </c>
      <c r="F15" s="16">
        <f>'06 Motocicletas'!D13</f>
        <v>36699.440000000002</v>
      </c>
      <c r="G15" s="16">
        <f>'06 Motocicletas'!E13</f>
        <v>0</v>
      </c>
      <c r="H15" s="16">
        <f>'06 Motocicletas'!F13</f>
        <v>0</v>
      </c>
      <c r="I15" s="16">
        <f>SUM('06 Motocicletas'!G13:J13)</f>
        <v>131608.46000000002</v>
      </c>
      <c r="J15" s="16">
        <f>'06 Motocicletas'!K13</f>
        <v>29692.1</v>
      </c>
      <c r="K15" s="18">
        <f t="shared" si="0"/>
        <v>5.2617592346532023E-2</v>
      </c>
    </row>
    <row r="16" spans="1:14" ht="39" customHeight="1">
      <c r="B16" s="9" t="s">
        <v>26</v>
      </c>
      <c r="C16" s="10" t="s">
        <v>27</v>
      </c>
      <c r="D16" s="11">
        <f>'07 Distracción'!L12</f>
        <v>125000.00000000001</v>
      </c>
      <c r="E16" s="12">
        <f>ROUND('AGA y criterios'!D15-D16,2)</f>
        <v>0</v>
      </c>
      <c r="F16" s="11">
        <f>'07 Distracción'!D12</f>
        <v>17376.63</v>
      </c>
      <c r="G16" s="11">
        <f>'07 Distracción'!E12</f>
        <v>0</v>
      </c>
      <c r="H16" s="11">
        <f>'07 Distracción'!F12</f>
        <v>0</v>
      </c>
      <c r="I16" s="11">
        <f>SUM('07 Distracción'!G12:J12)</f>
        <v>95494.24</v>
      </c>
      <c r="J16" s="11">
        <f>'07 Distracción'!K12</f>
        <v>12129.130000000001</v>
      </c>
      <c r="K16" s="13">
        <f t="shared" si="0"/>
        <v>3.3218176986446989E-2</v>
      </c>
    </row>
    <row r="17" spans="2:14" ht="39" customHeight="1">
      <c r="B17" s="14" t="s">
        <v>28</v>
      </c>
      <c r="C17" s="15" t="s">
        <v>29</v>
      </c>
      <c r="D17" s="16">
        <f>'08 PESET'!L12</f>
        <v>140000</v>
      </c>
      <c r="E17" s="17">
        <f>ROUND('AGA y criterios'!D16-D17,2)</f>
        <v>0</v>
      </c>
      <c r="F17" s="16">
        <f>'08 PESET'!D12</f>
        <v>39356.14</v>
      </c>
      <c r="G17" s="16">
        <f>'08 PESET'!E12</f>
        <v>0</v>
      </c>
      <c r="H17" s="16">
        <f>'08 PESET'!F12</f>
        <v>0</v>
      </c>
      <c r="I17" s="16">
        <f>SUM('08 PESET'!G12:J12)</f>
        <v>79896.44</v>
      </c>
      <c r="J17" s="16">
        <f>'08 PESET'!K12</f>
        <v>20747.419999999998</v>
      </c>
      <c r="K17" s="18">
        <f t="shared" si="0"/>
        <v>3.720435822482062E-2</v>
      </c>
    </row>
    <row r="18" spans="2:14" ht="39" customHeight="1">
      <c r="B18" s="9" t="s">
        <v>30</v>
      </c>
      <c r="C18" s="10" t="s">
        <v>31</v>
      </c>
      <c r="D18" s="11">
        <f>'09 Drogas y conducción'!L12</f>
        <v>125000</v>
      </c>
      <c r="E18" s="12">
        <f>ROUND('AGA y criterios'!D17-D18,2)</f>
        <v>0</v>
      </c>
      <c r="F18" s="11">
        <f>'09 Drogas y conducción'!D12</f>
        <v>27030.3</v>
      </c>
      <c r="G18" s="11">
        <f>'09 Drogas y conducción'!E12</f>
        <v>8928.7999999999993</v>
      </c>
      <c r="H18" s="11">
        <f>'09 Drogas y conducción'!F12</f>
        <v>0</v>
      </c>
      <c r="I18" s="11">
        <f>SUM('09 Drogas y conducción'!G12:J12)</f>
        <v>89040.900000000009</v>
      </c>
      <c r="J18" s="11">
        <f>'09 Drogas y conducción'!K12</f>
        <v>0</v>
      </c>
      <c r="K18" s="13">
        <f t="shared" si="0"/>
        <v>3.3218176986446982E-2</v>
      </c>
    </row>
    <row r="19" spans="2:14" ht="30" customHeight="1">
      <c r="B19" s="19" t="s">
        <v>32</v>
      </c>
      <c r="C19" s="19"/>
      <c r="D19" s="20">
        <f t="shared" ref="D19:K19" si="1">SUM(D10:D18)</f>
        <v>3763000</v>
      </c>
      <c r="E19" s="21">
        <f t="shared" si="1"/>
        <v>0</v>
      </c>
      <c r="F19" s="20">
        <f t="shared" si="1"/>
        <v>1081745.2700000003</v>
      </c>
      <c r="G19" s="20">
        <f t="shared" si="1"/>
        <v>334365.75</v>
      </c>
      <c r="H19" s="20">
        <f t="shared" si="1"/>
        <v>96688.5</v>
      </c>
      <c r="I19" s="20">
        <f t="shared" si="1"/>
        <v>2045857.7499999998</v>
      </c>
      <c r="J19" s="20">
        <f t="shared" si="1"/>
        <v>204342.72999999998</v>
      </c>
      <c r="K19" s="22">
        <f t="shared" si="1"/>
        <v>1</v>
      </c>
    </row>
    <row r="21" spans="2:14" ht="27.95" customHeight="1">
      <c r="B21" s="45" t="s">
        <v>33</v>
      </c>
      <c r="C21" s="45"/>
      <c r="D21" s="45"/>
      <c r="E21" s="45"/>
      <c r="F21" s="45"/>
      <c r="G21" s="45"/>
      <c r="H21" s="45"/>
      <c r="I21" s="45"/>
      <c r="J21" s="45"/>
      <c r="K21" s="45"/>
      <c r="L21" s="45"/>
      <c r="M21" s="45"/>
      <c r="N21" s="45"/>
    </row>
    <row r="22" spans="2:14" ht="32.1" customHeight="1">
      <c r="B22" s="45" t="s">
        <v>34</v>
      </c>
      <c r="C22" s="45"/>
      <c r="D22" s="45"/>
      <c r="E22" s="45"/>
      <c r="F22" s="45"/>
      <c r="G22" s="45"/>
      <c r="H22" s="45"/>
      <c r="I22" s="45"/>
      <c r="J22" s="45"/>
      <c r="K22" s="45"/>
      <c r="L22" s="45"/>
      <c r="M22" s="45"/>
      <c r="N22" s="45"/>
    </row>
    <row r="23" spans="2:14" ht="30" customHeight="1">
      <c r="B23" s="45" t="s">
        <v>35</v>
      </c>
      <c r="C23" s="45"/>
      <c r="D23" s="45"/>
      <c r="E23" s="45"/>
      <c r="F23" s="45"/>
      <c r="G23" s="45"/>
      <c r="H23" s="45"/>
      <c r="I23" s="45"/>
      <c r="J23" s="45"/>
      <c r="K23" s="45"/>
      <c r="L23" s="45"/>
      <c r="M23" s="45"/>
      <c r="N23" s="45"/>
    </row>
    <row r="24" spans="2:14" ht="32.1" customHeight="1">
      <c r="B24" s="45" t="s">
        <v>36</v>
      </c>
      <c r="C24" s="45"/>
      <c r="D24" s="45"/>
      <c r="E24" s="45"/>
      <c r="F24" s="45"/>
      <c r="G24" s="45"/>
      <c r="H24" s="45"/>
      <c r="I24" s="45"/>
      <c r="J24" s="45"/>
      <c r="K24" s="45"/>
      <c r="L24" s="45"/>
      <c r="M24" s="45"/>
      <c r="N24" s="45"/>
    </row>
    <row r="25" spans="2:14" ht="32.1" customHeight="1">
      <c r="B25" s="45" t="s">
        <v>37</v>
      </c>
      <c r="C25" s="45"/>
      <c r="D25" s="45"/>
      <c r="E25" s="45"/>
      <c r="F25" s="45"/>
      <c r="G25" s="45"/>
      <c r="H25" s="45"/>
      <c r="I25" s="45"/>
      <c r="J25" s="45"/>
      <c r="K25" s="45"/>
      <c r="L25" s="45"/>
      <c r="M25" s="45"/>
      <c r="N25" s="45"/>
    </row>
    <row r="28" spans="2:14" ht="42" customHeight="1">
      <c r="B28" s="6" t="s">
        <v>38</v>
      </c>
      <c r="C28" s="7" t="s">
        <v>39</v>
      </c>
      <c r="D28" s="8" t="s">
        <v>40</v>
      </c>
    </row>
    <row r="29" spans="2:14" ht="30.95" customHeight="1">
      <c r="B29" s="9" t="s">
        <v>8</v>
      </c>
      <c r="C29" s="11">
        <f>SUM('01 Alcohol adultos'!D12,'02 Alcohol jóvenes'!D12,'03 Velocidad y agresividad'!D13,'04 Protección al ocupante'!D14,'05 No motorizados'!D15,'06 Motocicletas'!D13,'07 Distracción'!D12,'08 PESET'!D12,'09 Drogas y conducción'!D12)</f>
        <v>1081745.2700000003</v>
      </c>
      <c r="D29" s="13">
        <f t="shared" ref="D29:D36" si="2">C29/$C$6</f>
        <v>0.28746884666489508</v>
      </c>
    </row>
    <row r="30" spans="2:14" ht="30.95" customHeight="1">
      <c r="B30" s="14" t="s">
        <v>41</v>
      </c>
      <c r="C30" s="16">
        <f>SUM('01 Alcohol adultos'!E12,'02 Alcohol jóvenes'!E12,'03 Velocidad y agresividad'!E13,'04 Protección al ocupante'!E14,'05 No motorizados'!E15,'06 Motocicletas'!E13,'07 Distracción'!E12,'08 PESET'!E12,'09 Drogas y conducción'!E12)</f>
        <v>334365.75</v>
      </c>
      <c r="D30" s="18">
        <f t="shared" si="2"/>
        <v>8.885616529364869E-2</v>
      </c>
    </row>
    <row r="31" spans="2:14" ht="30.95" customHeight="1">
      <c r="B31" s="9" t="s">
        <v>42</v>
      </c>
      <c r="C31" s="11">
        <f>SUM('01 Alcohol adultos'!F12,'02 Alcohol jóvenes'!F12,'03 Velocidad y agresividad'!F13,'04 Protección al ocupante'!F14,'05 No motorizados'!F15,'06 Motocicletas'!F13,'07 Distracción'!F12,'08 PESET'!F12,'09 Drogas y conducción'!F12)</f>
        <v>96688.5</v>
      </c>
      <c r="D31" s="13">
        <f t="shared" si="2"/>
        <v>2.5694525644432635E-2</v>
      </c>
    </row>
    <row r="32" spans="2:14" ht="30.95" customHeight="1">
      <c r="B32" s="14" t="s">
        <v>43</v>
      </c>
      <c r="C32" s="16">
        <f>SUM('01 Alcohol adultos'!G12,'02 Alcohol jóvenes'!G12,'03 Velocidad y agresividad'!G13,'04 Protección al ocupante'!G14,'05 No motorizados'!G15,'06 Motocicletas'!G13,'07 Distracción'!G12,'08 PESET'!G12,'09 Drogas y conducción'!G12)</f>
        <v>1077307.6399999999</v>
      </c>
      <c r="D32" s="18">
        <f t="shared" si="2"/>
        <v>0.28628956683497209</v>
      </c>
    </row>
    <row r="33" spans="2:4" ht="30.95" customHeight="1">
      <c r="B33" s="9" t="s">
        <v>44</v>
      </c>
      <c r="C33" s="11">
        <f>SUM('01 Alcohol adultos'!H12,'02 Alcohol jóvenes'!H12,'03 Velocidad y agresividad'!H13,'04 Protección al ocupante'!H14,'05 No motorizados'!H15,'06 Motocicletas'!H13,'07 Distracción'!H12,'08 PESET'!H12,'09 Drogas y conducción'!H12)</f>
        <v>682150.03</v>
      </c>
      <c r="D33" s="13">
        <f t="shared" si="2"/>
        <v>0.18127824342280097</v>
      </c>
    </row>
    <row r="34" spans="2:4" ht="30.95" customHeight="1">
      <c r="B34" s="14" t="s">
        <v>45</v>
      </c>
      <c r="C34" s="16">
        <f>SUM('01 Alcohol adultos'!I12,'02 Alcohol jóvenes'!I12,'03 Velocidad y agresividad'!I13,'04 Protección al ocupante'!I14,'05 No motorizados'!I15,'06 Motocicletas'!I13,'07 Distracción'!I12,'08 PESET'!I12,'09 Drogas y conducción'!I12)</f>
        <v>60650.06</v>
      </c>
      <c r="D34" s="18">
        <f t="shared" si="2"/>
        <v>1.6117475418549028E-2</v>
      </c>
    </row>
    <row r="35" spans="2:4" ht="30.95" customHeight="1">
      <c r="B35" s="9" t="s">
        <v>46</v>
      </c>
      <c r="C35" s="11">
        <f>SUM('01 Alcohol adultos'!J12,'02 Alcohol jóvenes'!J12,'03 Velocidad y agresividad'!J13,'04 Protección al ocupante'!J14,'05 No motorizados'!J15,'06 Motocicletas'!J13,'07 Distracción'!J12,'08 PESET'!J12,'09 Drogas y conducción'!J12)</f>
        <v>225750.02</v>
      </c>
      <c r="D35" s="13">
        <f t="shared" si="2"/>
        <v>5.9992032952431565E-2</v>
      </c>
    </row>
    <row r="36" spans="2:4" ht="30.95" customHeight="1">
      <c r="B36" s="14" t="s">
        <v>47</v>
      </c>
      <c r="C36" s="16">
        <f>SUM('01 Alcohol adultos'!K12,'02 Alcohol jóvenes'!K12,'03 Velocidad y agresividad'!K13,'04 Protección al ocupante'!K14,'05 No motorizados'!K15,'06 Motocicletas'!K13,'07 Distracción'!K12,'08 PESET'!K12,'09 Drogas y conducción'!K12)</f>
        <v>204342.72999999998</v>
      </c>
      <c r="D36" s="18">
        <f t="shared" si="2"/>
        <v>5.4303143768269994E-2</v>
      </c>
    </row>
    <row r="37" spans="2:4" ht="30" customHeight="1">
      <c r="B37" s="19" t="s">
        <v>48</v>
      </c>
      <c r="C37" s="20">
        <f>SUM(C29:C36)</f>
        <v>3763000.0000000005</v>
      </c>
      <c r="D37" s="22">
        <f>SUM(D29:D36)</f>
        <v>1.0000000000000002</v>
      </c>
    </row>
  </sheetData>
  <mergeCells count="7">
    <mergeCell ref="B24:N24"/>
    <mergeCell ref="B25:N25"/>
    <mergeCell ref="B2:N2"/>
    <mergeCell ref="B4:N4"/>
    <mergeCell ref="B21:N21"/>
    <mergeCell ref="B22:N22"/>
    <mergeCell ref="B23:N2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92667"/>
  </sheetPr>
  <dimension ref="A1:O85"/>
  <sheetViews>
    <sheetView showGridLines="0" workbookViewId="0">
      <pane xSplit="2" ySplit="10" topLeftCell="G11" activePane="bottomRight" state="frozen"/>
      <selection pane="bottomRight" activeCell="B24" sqref="B24:N24"/>
      <selection pane="bottomLeft" activeCell="B24" sqref="B24:N24"/>
      <selection pane="topRight" activeCell="B24" sqref="B24:N24"/>
    </sheetView>
  </sheetViews>
  <sheetFormatPr defaultColWidth="8.875" defaultRowHeight="15"/>
  <cols>
    <col min="1" max="1" width="3" style="2" customWidth="1"/>
    <col min="2" max="2" width="32" style="2" customWidth="1"/>
    <col min="3" max="3" width="28" style="2" customWidth="1"/>
    <col min="4" max="4" width="19" style="2" customWidth="1"/>
    <col min="5" max="15" width="16" style="2" customWidth="1"/>
    <col min="16" max="16384" width="8.875" style="2"/>
  </cols>
  <sheetData>
    <row r="1" spans="1:15">
      <c r="A1" s="1"/>
      <c r="B1" s="1"/>
      <c r="C1" s="1"/>
      <c r="D1" s="1"/>
      <c r="E1" s="1"/>
      <c r="F1" s="1"/>
      <c r="G1" s="1"/>
      <c r="H1" s="1"/>
      <c r="I1" s="1"/>
      <c r="J1" s="1"/>
      <c r="K1" s="1"/>
      <c r="L1" s="1"/>
      <c r="M1" s="1"/>
      <c r="N1" s="1"/>
      <c r="O1" s="1"/>
    </row>
    <row r="2" spans="1:15" ht="32.1" customHeight="1">
      <c r="A2" s="1"/>
      <c r="B2" s="46" t="s">
        <v>49</v>
      </c>
      <c r="C2" s="46"/>
      <c r="D2" s="46"/>
      <c r="E2" s="46"/>
      <c r="F2" s="46"/>
      <c r="G2" s="46"/>
      <c r="H2" s="46"/>
      <c r="I2" s="46"/>
      <c r="J2" s="46"/>
      <c r="K2" s="46"/>
      <c r="L2" s="46"/>
      <c r="M2" s="46"/>
      <c r="N2" s="46"/>
      <c r="O2" s="46"/>
    </row>
    <row r="3" spans="1:15" ht="3.95" customHeight="1">
      <c r="A3" s="1"/>
      <c r="B3" s="3"/>
      <c r="C3" s="3"/>
      <c r="D3" s="3"/>
      <c r="E3" s="3"/>
      <c r="F3" s="3"/>
      <c r="G3" s="3"/>
      <c r="H3" s="3"/>
      <c r="I3" s="3"/>
      <c r="J3" s="3"/>
      <c r="K3" s="3"/>
      <c r="L3" s="3"/>
      <c r="M3" s="3"/>
      <c r="N3" s="3"/>
      <c r="O3" s="3"/>
    </row>
    <row r="4" spans="1:15" ht="30" customHeight="1">
      <c r="A4" s="1"/>
      <c r="B4" s="45" t="s">
        <v>1</v>
      </c>
      <c r="C4" s="45"/>
      <c r="D4" s="45"/>
      <c r="E4" s="45"/>
      <c r="F4" s="45"/>
      <c r="G4" s="45"/>
      <c r="H4" s="45"/>
      <c r="I4" s="45"/>
      <c r="J4" s="45"/>
      <c r="K4" s="45"/>
      <c r="L4" s="45"/>
      <c r="M4" s="45"/>
      <c r="N4" s="45"/>
      <c r="O4" s="45"/>
    </row>
    <row r="5" spans="1:15">
      <c r="A5" s="1"/>
      <c r="B5" s="1"/>
      <c r="C5" s="1"/>
      <c r="D5" s="1"/>
      <c r="E5" s="1"/>
      <c r="F5" s="1"/>
      <c r="G5" s="1"/>
      <c r="H5" s="1"/>
      <c r="I5" s="1"/>
      <c r="J5" s="1"/>
      <c r="K5" s="1"/>
      <c r="L5" s="1"/>
      <c r="M5" s="1"/>
      <c r="N5" s="1"/>
      <c r="O5" s="1"/>
    </row>
    <row r="6" spans="1:15" ht="21">
      <c r="A6" s="1"/>
      <c r="B6" s="1" t="s">
        <v>50</v>
      </c>
      <c r="C6" s="32">
        <f>'AGA y criterios'!D9</f>
        <v>1625000</v>
      </c>
      <c r="D6" s="1"/>
      <c r="E6" s="1" t="s">
        <v>6</v>
      </c>
      <c r="F6" s="33">
        <f>L12</f>
        <v>1625000</v>
      </c>
      <c r="G6" s="1"/>
      <c r="H6" s="1" t="s">
        <v>3</v>
      </c>
      <c r="I6" s="5">
        <f>ROUND(C6-F6,2)</f>
        <v>0</v>
      </c>
      <c r="J6" s="1"/>
      <c r="K6" s="1" t="s">
        <v>51</v>
      </c>
      <c r="L6" s="1"/>
      <c r="M6" s="33">
        <f>'AGA y criterios'!E9</f>
        <v>570000</v>
      </c>
      <c r="N6" s="1"/>
      <c r="O6" s="1"/>
    </row>
    <row r="7" spans="1:15">
      <c r="A7" s="1"/>
      <c r="B7" s="1"/>
      <c r="C7" s="1"/>
      <c r="D7" s="1"/>
      <c r="E7" s="1"/>
      <c r="F7" s="1"/>
      <c r="G7" s="1"/>
      <c r="H7" s="1"/>
      <c r="I7" s="1"/>
      <c r="J7" s="1"/>
      <c r="K7" s="1"/>
      <c r="L7" s="1"/>
      <c r="M7" s="1"/>
      <c r="N7" s="1"/>
      <c r="O7" s="1"/>
    </row>
    <row r="8" spans="1:15" ht="30" customHeight="1">
      <c r="A8" s="1"/>
      <c r="B8" s="45" t="s">
        <v>52</v>
      </c>
      <c r="C8" s="45"/>
      <c r="D8" s="45"/>
      <c r="E8" s="45"/>
      <c r="F8" s="45"/>
      <c r="G8" s="45"/>
      <c r="H8" s="45"/>
      <c r="I8" s="45"/>
      <c r="J8" s="45"/>
      <c r="K8" s="45"/>
      <c r="L8" s="45"/>
      <c r="M8" s="45"/>
      <c r="N8" s="45"/>
      <c r="O8" s="45"/>
    </row>
    <row r="10" spans="1:15" ht="42" customHeight="1">
      <c r="B10" s="6" t="s">
        <v>53</v>
      </c>
      <c r="C10" s="7" t="s">
        <v>54</v>
      </c>
      <c r="D10" s="7" t="s">
        <v>8</v>
      </c>
      <c r="E10" s="7" t="s">
        <v>9</v>
      </c>
      <c r="F10" s="7" t="s">
        <v>10</v>
      </c>
      <c r="G10" s="7" t="s">
        <v>43</v>
      </c>
      <c r="H10" s="7" t="s">
        <v>44</v>
      </c>
      <c r="I10" s="7" t="s">
        <v>45</v>
      </c>
      <c r="J10" s="7" t="s">
        <v>46</v>
      </c>
      <c r="K10" s="7" t="s">
        <v>12</v>
      </c>
      <c r="L10" s="7" t="s">
        <v>55</v>
      </c>
      <c r="M10" s="7" t="s">
        <v>3</v>
      </c>
      <c r="N10" s="8" t="s">
        <v>56</v>
      </c>
    </row>
    <row r="11" spans="1:15" ht="30.95" customHeight="1">
      <c r="B11" s="10" t="s">
        <v>15</v>
      </c>
      <c r="C11" s="11">
        <f>'AGA y criterios'!D26</f>
        <v>1625000</v>
      </c>
      <c r="D11" s="11">
        <f>M23</f>
        <v>474381.94</v>
      </c>
      <c r="E11" s="11">
        <f>M24</f>
        <v>150896.75</v>
      </c>
      <c r="F11" s="11">
        <v>0</v>
      </c>
      <c r="G11" s="11">
        <f>M25</f>
        <v>431948.51000000007</v>
      </c>
      <c r="H11" s="11">
        <f>M26</f>
        <v>325000</v>
      </c>
      <c r="I11" s="11">
        <v>0</v>
      </c>
      <c r="J11" s="11">
        <f>M27</f>
        <v>162500</v>
      </c>
      <c r="K11" s="11">
        <f>M28</f>
        <v>80272.800000000003</v>
      </c>
      <c r="L11" s="11">
        <f>M29</f>
        <v>1625000</v>
      </c>
      <c r="M11" s="11">
        <f>ROUND(C11-L11,2)</f>
        <v>0</v>
      </c>
      <c r="N11" s="13">
        <f>L11/$C$6</f>
        <v>1</v>
      </c>
    </row>
    <row r="12" spans="1:15" ht="30" customHeight="1">
      <c r="B12" s="34" t="s">
        <v>57</v>
      </c>
      <c r="C12" s="20">
        <f t="shared" ref="C12:N12" si="0">SUM(C11:C11)</f>
        <v>1625000</v>
      </c>
      <c r="D12" s="20">
        <f t="shared" si="0"/>
        <v>474381.94</v>
      </c>
      <c r="E12" s="20">
        <f t="shared" si="0"/>
        <v>150896.75</v>
      </c>
      <c r="F12" s="20">
        <f t="shared" si="0"/>
        <v>0</v>
      </c>
      <c r="G12" s="20">
        <f t="shared" si="0"/>
        <v>431948.51000000007</v>
      </c>
      <c r="H12" s="20">
        <f t="shared" si="0"/>
        <v>325000</v>
      </c>
      <c r="I12" s="20">
        <f t="shared" si="0"/>
        <v>0</v>
      </c>
      <c r="J12" s="20">
        <f t="shared" si="0"/>
        <v>162500</v>
      </c>
      <c r="K12" s="20">
        <f t="shared" si="0"/>
        <v>80272.800000000003</v>
      </c>
      <c r="L12" s="20">
        <f t="shared" si="0"/>
        <v>1625000</v>
      </c>
      <c r="M12" s="20">
        <f t="shared" si="0"/>
        <v>0</v>
      </c>
      <c r="N12" s="22">
        <f t="shared" si="0"/>
        <v>1</v>
      </c>
    </row>
    <row r="16" spans="1:15" ht="24.95" customHeight="1">
      <c r="B16" s="47" t="s">
        <v>49</v>
      </c>
      <c r="C16" s="47"/>
      <c r="D16" s="47"/>
      <c r="E16" s="47"/>
      <c r="F16" s="47"/>
      <c r="G16" s="47"/>
      <c r="H16" s="47"/>
      <c r="I16" s="47"/>
      <c r="J16" s="47"/>
      <c r="K16" s="47"/>
      <c r="L16" s="47"/>
      <c r="M16" s="47"/>
      <c r="N16" s="47"/>
    </row>
    <row r="17" spans="2:14" ht="32.1" customHeight="1">
      <c r="B17" s="45" t="s">
        <v>58</v>
      </c>
      <c r="C17" s="45"/>
      <c r="D17" s="45"/>
      <c r="E17" s="45"/>
      <c r="F17" s="45"/>
      <c r="G17" s="45"/>
      <c r="H17" s="45"/>
      <c r="I17" s="45"/>
      <c r="J17" s="45"/>
      <c r="K17" s="45"/>
      <c r="L17" s="45"/>
      <c r="M17" s="45"/>
      <c r="N17" s="45"/>
    </row>
    <row r="18" spans="2:14" ht="32.1" customHeight="1">
      <c r="B18" s="45" t="s">
        <v>59</v>
      </c>
      <c r="C18" s="45"/>
      <c r="D18" s="45"/>
      <c r="E18" s="45"/>
      <c r="F18" s="45"/>
      <c r="G18" s="45"/>
      <c r="H18" s="45"/>
      <c r="I18" s="45"/>
      <c r="J18" s="45"/>
      <c r="K18" s="45"/>
      <c r="L18" s="45"/>
      <c r="M18" s="45"/>
      <c r="N18" s="45"/>
    </row>
    <row r="19" spans="2:14" ht="33.950000000000003" customHeight="1">
      <c r="B19" s="45" t="s">
        <v>60</v>
      </c>
      <c r="C19" s="45"/>
      <c r="D19" s="45"/>
      <c r="E19" s="45"/>
      <c r="F19" s="45"/>
      <c r="G19" s="45"/>
      <c r="H19" s="45"/>
      <c r="I19" s="45"/>
      <c r="J19" s="45"/>
      <c r="K19" s="45"/>
      <c r="L19" s="45"/>
      <c r="M19" s="45"/>
      <c r="N19" s="45"/>
    </row>
    <row r="20" spans="2:14">
      <c r="B20" s="2" t="s">
        <v>61</v>
      </c>
      <c r="C20" s="35">
        <f>'AGA y criterios'!D26</f>
        <v>1625000</v>
      </c>
    </row>
    <row r="22" spans="2:14" ht="42" customHeight="1">
      <c r="B22" s="6" t="s">
        <v>62</v>
      </c>
      <c r="C22" s="7" t="s">
        <v>63</v>
      </c>
      <c r="D22" s="7" t="s">
        <v>64</v>
      </c>
      <c r="E22" s="7" t="s">
        <v>65</v>
      </c>
      <c r="F22" s="7" t="s">
        <v>66</v>
      </c>
      <c r="G22" s="7" t="s">
        <v>67</v>
      </c>
      <c r="H22" s="7" t="s">
        <v>68</v>
      </c>
      <c r="I22" s="7" t="s">
        <v>69</v>
      </c>
      <c r="J22" s="7" t="s">
        <v>70</v>
      </c>
      <c r="K22" s="7" t="s">
        <v>71</v>
      </c>
      <c r="L22" s="7" t="s">
        <v>72</v>
      </c>
      <c r="M22" s="7" t="s">
        <v>2</v>
      </c>
      <c r="N22" s="8" t="s">
        <v>13</v>
      </c>
    </row>
    <row r="23" spans="2:14" ht="30.95" customHeight="1">
      <c r="B23" s="10" t="s">
        <v>8</v>
      </c>
      <c r="C23" s="10" t="s">
        <v>73</v>
      </c>
      <c r="D23" s="36">
        <f>SUM(Tarifas!E7:E12)</f>
        <v>10068.25</v>
      </c>
      <c r="E23" s="11">
        <f>ROUND($C$20*('Base de distribución'!E8/SUM('Base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52709.1</v>
      </c>
      <c r="F23" s="11">
        <f>ROUND($C$20*('Base de distribución'!E9/SUM('Base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52709.1</v>
      </c>
      <c r="G23" s="11">
        <f>ROUND($C$20*('Base de distribución'!E10/SUM('Base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87848.5</v>
      </c>
      <c r="H23" s="11">
        <f>ROUND($C$20*('Base de distribución'!E11/SUM('Base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70278.81</v>
      </c>
      <c r="I23" s="11">
        <f>ROUND($C$20*('Base de distribución'!E12/SUM('Base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70278.81</v>
      </c>
      <c r="J23" s="11">
        <f>ROUND($C$20*('Base de distribución'!E13/SUM('Base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70278.81</v>
      </c>
      <c r="K23" s="11">
        <f>ROUND($C$20*('Base de distribución'!E14/SUM('Base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70278.81</v>
      </c>
      <c r="L23" s="37">
        <f>SUM(L46:L51)</f>
        <v>282.69973828619669</v>
      </c>
      <c r="M23" s="11">
        <f t="shared" ref="M23:M28" si="1">SUM(E23:K23)</f>
        <v>474381.94</v>
      </c>
      <c r="N23" s="13">
        <f t="shared" ref="N23:N28" si="2">M23/$C$20</f>
        <v>0.29192734769230771</v>
      </c>
    </row>
    <row r="24" spans="2:14" ht="30.95" customHeight="1">
      <c r="B24" s="15" t="s">
        <v>41</v>
      </c>
      <c r="C24" s="15" t="s">
        <v>74</v>
      </c>
      <c r="D24" s="38">
        <f>SUM(Tarifas!E13:E30)</f>
        <v>665.16</v>
      </c>
      <c r="E24" s="16">
        <f>ROUND($C$20*('Base de distribución'!E15/SUM('Base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11607.45</v>
      </c>
      <c r="F24" s="16">
        <f>ROUND($C$20*('Base de distribución'!E16/SUM('Base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11607.45</v>
      </c>
      <c r="G24" s="16">
        <f>ROUND($C$20*('Base de distribución'!E17/SUM('Base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34822.33</v>
      </c>
      <c r="H24" s="16">
        <f>ROUND($C$20*('Base de distribución'!E18/SUM('Base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23214.880000000001</v>
      </c>
      <c r="I24" s="16">
        <f>ROUND($C$20*('Base de distribución'!E19/SUM('Base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23214.880000000001</v>
      </c>
      <c r="J24" s="16">
        <f>ROUND($C$20*('Base de distribución'!E20/SUM('Base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23214.880000000001</v>
      </c>
      <c r="K24" s="16">
        <f>ROUND($C$20*('Base de distribución'!E21/SUM('Base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23214.880000000001</v>
      </c>
      <c r="L24" s="39">
        <f>SUM(L54:L71)</f>
        <v>4083.4408262673628</v>
      </c>
      <c r="M24" s="16">
        <f t="shared" si="1"/>
        <v>150896.75</v>
      </c>
      <c r="N24" s="18">
        <f t="shared" si="2"/>
        <v>9.2859538461538466E-2</v>
      </c>
    </row>
    <row r="25" spans="2:14" ht="30.95" customHeight="1">
      <c r="B25" s="10" t="s">
        <v>37</v>
      </c>
      <c r="C25" s="10" t="s">
        <v>75</v>
      </c>
      <c r="D25" s="36">
        <f>Tarifas!E35</f>
        <v>8.625</v>
      </c>
      <c r="E25" s="11">
        <f>ROUND($C$20*('Base de distribución'!E22/SUM('Base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39399.35</v>
      </c>
      <c r="F25" s="11">
        <f>ROUND($C$20*('Base de distribución'!E23/SUM('Base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39399.35</v>
      </c>
      <c r="G25" s="11">
        <f>ROUND($C$20*('Base de distribución'!E24/SUM('Base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89778.02</v>
      </c>
      <c r="H25" s="11">
        <f>ROUND($C$20*('Base de distribución'!E25/SUM('Base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62080.160000000003</v>
      </c>
      <c r="I25" s="11">
        <f>ROUND($C$20*('Base de distribución'!E26/SUM('Base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67097.210000000006</v>
      </c>
      <c r="J25" s="11">
        <f>ROUND($C$20*('Base de distribución'!E27/SUM('Base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67097.210000000006</v>
      </c>
      <c r="K25" s="11">
        <f>ROUND($C$20*('Base de distribución'!E28/SUM('Base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67097.210000000006</v>
      </c>
      <c r="L25" s="40">
        <f>SUM(L74:L74)</f>
        <v>50080982</v>
      </c>
      <c r="M25" s="11">
        <f t="shared" si="1"/>
        <v>431948.51000000007</v>
      </c>
      <c r="N25" s="13">
        <f t="shared" si="2"/>
        <v>0.26581446769230771</v>
      </c>
    </row>
    <row r="26" spans="2:14" ht="30.95" customHeight="1">
      <c r="B26" s="15" t="s">
        <v>44</v>
      </c>
      <c r="C26" s="15" t="s">
        <v>75</v>
      </c>
      <c r="D26" s="38">
        <f>Tarifas!E36</f>
        <v>6.9</v>
      </c>
      <c r="E26" s="16">
        <f>ROUND($C$20*('Base de distribución'!E29/SUM('Base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32500</v>
      </c>
      <c r="F26" s="16">
        <f>ROUND($C$20*('Base de distribución'!E30/SUM('Base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32500</v>
      </c>
      <c r="G26" s="16">
        <f>ROUND($C$20*('Base de distribución'!E31/SUM('Base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65000</v>
      </c>
      <c r="H26" s="16">
        <f>ROUND($C$20*('Base de distribución'!E32/SUM('Base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48750</v>
      </c>
      <c r="I26" s="16">
        <f>ROUND($C$20*('Base de distribución'!E33/SUM('Base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48750</v>
      </c>
      <c r="J26" s="16">
        <f>ROUND($C$20*('Base de distribución'!E34/SUM('Base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48750</v>
      </c>
      <c r="K26" s="16">
        <f>ROUND($C$20*('Base de distribución'!E35/SUM('Base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48750</v>
      </c>
      <c r="L26" s="41">
        <f>SUM(L77:L77)</f>
        <v>47101445</v>
      </c>
      <c r="M26" s="16">
        <f t="shared" si="1"/>
        <v>325000</v>
      </c>
      <c r="N26" s="18">
        <f t="shared" si="2"/>
        <v>0.2</v>
      </c>
    </row>
    <row r="27" spans="2:14" ht="30.95" customHeight="1">
      <c r="B27" s="10" t="s">
        <v>46</v>
      </c>
      <c r="C27" s="10" t="s">
        <v>76</v>
      </c>
      <c r="D27" s="36">
        <f>Tarifas!E38</f>
        <v>0.115</v>
      </c>
      <c r="E27" s="11">
        <f>ROUND($C$20*('Base de distribución'!E36/SUM('Base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16250</v>
      </c>
      <c r="F27" s="11">
        <f>ROUND($C$20*('Base de distribución'!E37/SUM('Base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16250</v>
      </c>
      <c r="G27" s="11">
        <f>ROUND($C$20*('Base de distribución'!E38/SUM('Base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32500</v>
      </c>
      <c r="H27" s="11">
        <f>ROUND($C$20*('Base de distribución'!E39/SUM('Base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24375</v>
      </c>
      <c r="I27" s="11">
        <f>ROUND($C$20*('Base de distribución'!E40/SUM('Base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24375</v>
      </c>
      <c r="J27" s="11">
        <f>ROUND($C$20*('Base de distribución'!E41/SUM('Base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24375</v>
      </c>
      <c r="K27" s="11">
        <f>ROUND($C$20*('Base de distribución'!E42/SUM('Base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24375</v>
      </c>
      <c r="L27" s="40">
        <f>SUM(L80:L80)</f>
        <v>1413040</v>
      </c>
      <c r="M27" s="11">
        <f t="shared" si="1"/>
        <v>162500</v>
      </c>
      <c r="N27" s="13">
        <f t="shared" si="2"/>
        <v>0.1</v>
      </c>
    </row>
    <row r="28" spans="2:14" ht="30.95" customHeight="1">
      <c r="B28" s="15" t="s">
        <v>47</v>
      </c>
      <c r="C28" s="15" t="s">
        <v>77</v>
      </c>
      <c r="D28" s="38">
        <f>Tarifas!E39</f>
        <v>2875</v>
      </c>
      <c r="E28" s="16">
        <f>ROUND($C$20*('Base de distribución'!E43/SUM('Base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10034.09</v>
      </c>
      <c r="F28" s="16">
        <f>ROUND($C$20*('Base de distribución'!E44/SUM('Base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10034.09</v>
      </c>
      <c r="G28" s="16">
        <f>ROUND($C$20*('Base de distribución'!E45/SUM('Base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15051.15</v>
      </c>
      <c r="H28" s="16">
        <f>ROUND($C$20*('Base de distribución'!E46/SUM('Base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15051.15</v>
      </c>
      <c r="I28" s="16">
        <f>ROUND($C$20*('Base de distribución'!E47/SUM('Base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10034.09</v>
      </c>
      <c r="J28" s="16">
        <f>ROUND($C$20*('Base de distribución'!E48/SUM('Base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distribución'!E49)),2)</f>
        <v>10034.09</v>
      </c>
      <c r="K28" s="16">
        <f>ROUND($C$20-SUM(E23:K23,E24:K24,E25:K25,E26:K26,E27:K27,E28:J28),2)</f>
        <v>10034.14</v>
      </c>
      <c r="L28" s="39">
        <f>L83*Tarifas!F39</f>
        <v>83.762921739130434</v>
      </c>
      <c r="M28" s="16">
        <f t="shared" si="1"/>
        <v>80272.800000000003</v>
      </c>
      <c r="N28" s="18">
        <f t="shared" si="2"/>
        <v>4.9398646153846155E-2</v>
      </c>
    </row>
    <row r="29" spans="2:14" ht="30" customHeight="1">
      <c r="B29" s="19" t="s">
        <v>78</v>
      </c>
      <c r="C29" s="19"/>
      <c r="D29" s="19"/>
      <c r="E29" s="20">
        <f t="shared" ref="E29:K29" si="3">SUM(E23:E28)</f>
        <v>162499.99</v>
      </c>
      <c r="F29" s="20">
        <f t="shared" si="3"/>
        <v>162499.99</v>
      </c>
      <c r="G29" s="20">
        <f t="shared" si="3"/>
        <v>325000</v>
      </c>
      <c r="H29" s="20">
        <f t="shared" si="3"/>
        <v>243750</v>
      </c>
      <c r="I29" s="20">
        <f t="shared" si="3"/>
        <v>243749.99000000002</v>
      </c>
      <c r="J29" s="20">
        <f t="shared" si="3"/>
        <v>243749.99000000002</v>
      </c>
      <c r="K29" s="20">
        <f t="shared" si="3"/>
        <v>243750.04000000004</v>
      </c>
      <c r="L29" s="19"/>
      <c r="M29" s="20">
        <f>SUM(M23:M28)</f>
        <v>1625000</v>
      </c>
      <c r="N29" s="22">
        <f>SUM(N23:N28)</f>
        <v>1</v>
      </c>
    </row>
    <row r="30" spans="2:14">
      <c r="B30" s="2" t="s">
        <v>79</v>
      </c>
      <c r="C30" s="42">
        <f>ROUND(C20-M29,2)</f>
        <v>0</v>
      </c>
    </row>
    <row r="31" spans="2:14" ht="32.1" customHeight="1">
      <c r="B31" s="45" t="s">
        <v>80</v>
      </c>
      <c r="C31" s="45"/>
      <c r="D31" s="45"/>
      <c r="E31" s="45"/>
      <c r="F31" s="45"/>
      <c r="G31" s="45"/>
      <c r="H31" s="45"/>
      <c r="I31" s="45"/>
      <c r="J31" s="45"/>
      <c r="K31" s="45"/>
      <c r="L31" s="45"/>
      <c r="M31" s="45"/>
      <c r="N31" s="45"/>
    </row>
    <row r="32" spans="2:14" ht="32.1" customHeight="1">
      <c r="B32" s="45" t="s">
        <v>81</v>
      </c>
      <c r="C32" s="45"/>
      <c r="D32" s="45"/>
      <c r="E32" s="45"/>
      <c r="F32" s="45"/>
      <c r="G32" s="45"/>
      <c r="H32" s="45"/>
      <c r="I32" s="45"/>
      <c r="J32" s="45"/>
      <c r="K32" s="45"/>
      <c r="L32" s="45"/>
      <c r="M32" s="45"/>
      <c r="N32" s="45"/>
    </row>
    <row r="34" spans="2:14" ht="24.95" customHeight="1">
      <c r="B34" s="47" t="s">
        <v>82</v>
      </c>
      <c r="C34" s="47"/>
      <c r="D34" s="47"/>
      <c r="E34" s="47"/>
      <c r="F34" s="47"/>
      <c r="G34" s="47"/>
      <c r="H34" s="47"/>
      <c r="I34" s="47"/>
      <c r="J34" s="47"/>
      <c r="K34" s="47"/>
      <c r="L34" s="47"/>
      <c r="M34" s="47"/>
      <c r="N34" s="47"/>
    </row>
    <row r="35" spans="2:14" ht="42" customHeight="1">
      <c r="B35" s="6" t="s">
        <v>38</v>
      </c>
      <c r="C35" s="7" t="s">
        <v>83</v>
      </c>
      <c r="D35" s="7" t="s">
        <v>84</v>
      </c>
      <c r="E35" s="7" t="s">
        <v>65</v>
      </c>
      <c r="F35" s="7" t="s">
        <v>66</v>
      </c>
      <c r="G35" s="7" t="s">
        <v>67</v>
      </c>
      <c r="H35" s="7" t="s">
        <v>68</v>
      </c>
      <c r="I35" s="7" t="s">
        <v>69</v>
      </c>
      <c r="J35" s="7" t="s">
        <v>70</v>
      </c>
      <c r="K35" s="8" t="s">
        <v>71</v>
      </c>
    </row>
    <row r="36" spans="2:14" ht="44.1" customHeight="1">
      <c r="B36" s="10" t="s">
        <v>8</v>
      </c>
      <c r="C36" s="10" t="s">
        <v>85</v>
      </c>
      <c r="D36" s="10" t="s">
        <v>86</v>
      </c>
      <c r="E36" s="9" t="s">
        <v>65</v>
      </c>
      <c r="F36" s="9" t="s">
        <v>66</v>
      </c>
      <c r="G36" s="9" t="s">
        <v>67</v>
      </c>
      <c r="H36" s="9" t="s">
        <v>68</v>
      </c>
      <c r="I36" s="9" t="s">
        <v>69</v>
      </c>
      <c r="J36" s="9" t="s">
        <v>70</v>
      </c>
      <c r="K36" s="9" t="s">
        <v>71</v>
      </c>
      <c r="L36" s="9"/>
      <c r="M36" s="9"/>
      <c r="N36" s="9"/>
    </row>
    <row r="37" spans="2:14" ht="44.1" customHeight="1">
      <c r="B37" s="15" t="s">
        <v>41</v>
      </c>
      <c r="C37" s="15" t="s">
        <v>87</v>
      </c>
      <c r="D37" s="15" t="s">
        <v>88</v>
      </c>
      <c r="E37" s="14" t="s">
        <v>65</v>
      </c>
      <c r="F37" s="14" t="s">
        <v>66</v>
      </c>
      <c r="G37" s="14" t="s">
        <v>67</v>
      </c>
      <c r="H37" s="14" t="s">
        <v>68</v>
      </c>
      <c r="I37" s="14" t="s">
        <v>69</v>
      </c>
      <c r="J37" s="14" t="s">
        <v>70</v>
      </c>
      <c r="K37" s="14" t="s">
        <v>71</v>
      </c>
      <c r="L37" s="14"/>
      <c r="M37" s="14"/>
      <c r="N37" s="14"/>
    </row>
    <row r="38" spans="2:14" ht="44.1" customHeight="1">
      <c r="B38" s="10" t="s">
        <v>43</v>
      </c>
      <c r="C38" s="10" t="s">
        <v>89</v>
      </c>
      <c r="D38" s="10" t="s">
        <v>86</v>
      </c>
      <c r="E38" s="9" t="s">
        <v>65</v>
      </c>
      <c r="F38" s="9" t="s">
        <v>66</v>
      </c>
      <c r="G38" s="9" t="s">
        <v>67</v>
      </c>
      <c r="H38" s="9" t="s">
        <v>68</v>
      </c>
      <c r="I38" s="9" t="s">
        <v>69</v>
      </c>
      <c r="J38" s="9" t="s">
        <v>70</v>
      </c>
      <c r="K38" s="9" t="s">
        <v>71</v>
      </c>
      <c r="L38" s="9"/>
      <c r="M38" s="9"/>
      <c r="N38" s="9"/>
    </row>
    <row r="39" spans="2:14" ht="44.1" customHeight="1">
      <c r="B39" s="15" t="s">
        <v>44</v>
      </c>
      <c r="C39" s="15" t="s">
        <v>90</v>
      </c>
      <c r="D39" s="15" t="s">
        <v>86</v>
      </c>
      <c r="E39" s="14" t="s">
        <v>65</v>
      </c>
      <c r="F39" s="14" t="s">
        <v>66</v>
      </c>
      <c r="G39" s="14" t="s">
        <v>67</v>
      </c>
      <c r="H39" s="14" t="s">
        <v>68</v>
      </c>
      <c r="I39" s="14" t="s">
        <v>69</v>
      </c>
      <c r="J39" s="14" t="s">
        <v>70</v>
      </c>
      <c r="K39" s="14" t="s">
        <v>71</v>
      </c>
      <c r="L39" s="14"/>
      <c r="M39" s="14"/>
      <c r="N39" s="14"/>
    </row>
    <row r="40" spans="2:14" ht="44.1" customHeight="1">
      <c r="B40" s="10" t="s">
        <v>46</v>
      </c>
      <c r="C40" s="10" t="s">
        <v>91</v>
      </c>
      <c r="D40" s="10" t="s">
        <v>86</v>
      </c>
      <c r="E40" s="9" t="s">
        <v>65</v>
      </c>
      <c r="F40" s="9" t="s">
        <v>66</v>
      </c>
      <c r="G40" s="9" t="s">
        <v>67</v>
      </c>
      <c r="H40" s="9" t="s">
        <v>68</v>
      </c>
      <c r="I40" s="9" t="s">
        <v>69</v>
      </c>
      <c r="J40" s="9" t="s">
        <v>70</v>
      </c>
      <c r="K40" s="9" t="s">
        <v>71</v>
      </c>
      <c r="L40" s="9"/>
      <c r="M40" s="9"/>
      <c r="N40" s="9"/>
    </row>
    <row r="41" spans="2:14" ht="44.1" customHeight="1">
      <c r="B41" s="15" t="s">
        <v>47</v>
      </c>
      <c r="C41" s="15" t="s">
        <v>92</v>
      </c>
      <c r="D41" s="15" t="s">
        <v>86</v>
      </c>
      <c r="E41" s="14" t="s">
        <v>65</v>
      </c>
      <c r="F41" s="14" t="s">
        <v>66</v>
      </c>
      <c r="G41" s="14" t="s">
        <v>67</v>
      </c>
      <c r="H41" s="14" t="s">
        <v>68</v>
      </c>
      <c r="I41" s="14" t="s">
        <v>69</v>
      </c>
      <c r="J41" s="14" t="s">
        <v>70</v>
      </c>
      <c r="K41" s="14" t="s">
        <v>71</v>
      </c>
      <c r="L41" s="14"/>
      <c r="M41" s="14"/>
      <c r="N41" s="14"/>
    </row>
    <row r="43" spans="2:14" ht="24.95" customHeight="1">
      <c r="B43" s="47" t="s">
        <v>93</v>
      </c>
      <c r="C43" s="47"/>
      <c r="D43" s="47"/>
      <c r="E43" s="47"/>
      <c r="F43" s="47"/>
      <c r="G43" s="47"/>
      <c r="H43" s="47"/>
      <c r="I43" s="47"/>
      <c r="J43" s="47"/>
      <c r="K43" s="47"/>
      <c r="L43" s="47"/>
      <c r="M43" s="47"/>
      <c r="N43" s="47"/>
    </row>
    <row r="44" spans="2:14" ht="42" customHeight="1">
      <c r="B44" s="6" t="s">
        <v>94</v>
      </c>
      <c r="C44" s="7" t="s">
        <v>95</v>
      </c>
      <c r="D44" s="7" t="s">
        <v>64</v>
      </c>
      <c r="E44" s="7" t="s">
        <v>65</v>
      </c>
      <c r="F44" s="7" t="s">
        <v>66</v>
      </c>
      <c r="G44" s="7" t="s">
        <v>67</v>
      </c>
      <c r="H44" s="7" t="s">
        <v>68</v>
      </c>
      <c r="I44" s="7" t="s">
        <v>69</v>
      </c>
      <c r="J44" s="7" t="s">
        <v>70</v>
      </c>
      <c r="K44" s="7" t="s">
        <v>71</v>
      </c>
      <c r="L44" s="7" t="s">
        <v>96</v>
      </c>
      <c r="M44" s="7" t="s">
        <v>2</v>
      </c>
      <c r="N44" s="8" t="s">
        <v>97</v>
      </c>
    </row>
    <row r="45" spans="2:14" ht="24.95" customHeight="1">
      <c r="B45" s="47" t="s">
        <v>8</v>
      </c>
      <c r="C45" s="47"/>
      <c r="D45" s="47"/>
      <c r="E45" s="47"/>
      <c r="F45" s="47"/>
      <c r="G45" s="47"/>
      <c r="H45" s="47"/>
      <c r="I45" s="47"/>
      <c r="J45" s="47"/>
      <c r="K45" s="47"/>
      <c r="L45" s="47"/>
      <c r="M45" s="47"/>
      <c r="N45" s="47"/>
    </row>
    <row r="46" spans="2:14" ht="38.1" customHeight="1">
      <c r="B46" s="10" t="str">
        <f>Tarifas!B7</f>
        <v>Telemundo</v>
      </c>
      <c r="C46" s="10" t="str">
        <f>Tarifas!C7</f>
        <v>Dia a Dia</v>
      </c>
      <c r="D46" s="36">
        <f>Tarifas!E7</f>
        <v>782</v>
      </c>
      <c r="E46" s="37">
        <f t="shared" ref="E46:K46" si="4">E23/$D$23</f>
        <v>5.2351798972015988</v>
      </c>
      <c r="F46" s="37">
        <f t="shared" si="4"/>
        <v>5.2351798972015988</v>
      </c>
      <c r="G46" s="37">
        <f t="shared" si="4"/>
        <v>8.725299828669332</v>
      </c>
      <c r="H46" s="37">
        <f t="shared" si="4"/>
        <v>6.9802408561567297</v>
      </c>
      <c r="I46" s="37">
        <f t="shared" si="4"/>
        <v>6.9802408561567297</v>
      </c>
      <c r="J46" s="37">
        <f t="shared" si="4"/>
        <v>6.9802408561567297</v>
      </c>
      <c r="K46" s="37">
        <f t="shared" si="4"/>
        <v>6.9802408561567297</v>
      </c>
      <c r="L46" s="37">
        <f t="shared" ref="L46:L51" si="5">SUM(E46:K46)</f>
        <v>47.116623047699449</v>
      </c>
      <c r="M46" s="11">
        <f>ROUND(L46*D46,2)</f>
        <v>36845.199999999997</v>
      </c>
      <c r="N46" s="13">
        <f t="shared" ref="N46:N51" si="6">M46/$C$20</f>
        <v>2.2673969230769229E-2</v>
      </c>
    </row>
    <row r="47" spans="2:14" ht="38.1" customHeight="1">
      <c r="B47" s="15" t="str">
        <f>Tarifas!B8</f>
        <v>Telemundo</v>
      </c>
      <c r="C47" s="15" t="str">
        <f>Tarifas!C8</f>
        <v>PR Gana 6pm (M,W,T,f,Su)</v>
      </c>
      <c r="D47" s="38">
        <f>Tarifas!E8</f>
        <v>2541.5</v>
      </c>
      <c r="E47" s="39">
        <f t="shared" ref="E47:K47" si="7">E23/$D$23</f>
        <v>5.2351798972015988</v>
      </c>
      <c r="F47" s="39">
        <f t="shared" si="7"/>
        <v>5.2351798972015988</v>
      </c>
      <c r="G47" s="39">
        <f t="shared" si="7"/>
        <v>8.725299828669332</v>
      </c>
      <c r="H47" s="39">
        <f t="shared" si="7"/>
        <v>6.9802408561567297</v>
      </c>
      <c r="I47" s="39">
        <f t="shared" si="7"/>
        <v>6.9802408561567297</v>
      </c>
      <c r="J47" s="39">
        <f t="shared" si="7"/>
        <v>6.9802408561567297</v>
      </c>
      <c r="K47" s="39">
        <f t="shared" si="7"/>
        <v>6.9802408561567297</v>
      </c>
      <c r="L47" s="39">
        <f t="shared" si="5"/>
        <v>47.116623047699449</v>
      </c>
      <c r="M47" s="16">
        <f>ROUND(L47*D47,2)</f>
        <v>119746.9</v>
      </c>
      <c r="N47" s="18">
        <f t="shared" si="6"/>
        <v>7.3690400000000003E-2</v>
      </c>
    </row>
    <row r="48" spans="2:14" ht="38.1" customHeight="1">
      <c r="B48" s="10" t="str">
        <f>Tarifas!B9</f>
        <v>WAPA</v>
      </c>
      <c r="C48" s="10" t="str">
        <f>Tarifas!C9</f>
        <v>Pegate al MedioDIa</v>
      </c>
      <c r="D48" s="36">
        <f>Tarifas!E9</f>
        <v>977.5</v>
      </c>
      <c r="E48" s="37">
        <f t="shared" ref="E48:K48" si="8">E23/$D$23</f>
        <v>5.2351798972015988</v>
      </c>
      <c r="F48" s="37">
        <f t="shared" si="8"/>
        <v>5.2351798972015988</v>
      </c>
      <c r="G48" s="37">
        <f t="shared" si="8"/>
        <v>8.725299828669332</v>
      </c>
      <c r="H48" s="37">
        <f t="shared" si="8"/>
        <v>6.9802408561567297</v>
      </c>
      <c r="I48" s="37">
        <f t="shared" si="8"/>
        <v>6.9802408561567297</v>
      </c>
      <c r="J48" s="37">
        <f t="shared" si="8"/>
        <v>6.9802408561567297</v>
      </c>
      <c r="K48" s="37">
        <f t="shared" si="8"/>
        <v>6.9802408561567297</v>
      </c>
      <c r="L48" s="37">
        <f t="shared" si="5"/>
        <v>47.116623047699449</v>
      </c>
      <c r="M48" s="11">
        <f>ROUND(L48*D48,2)</f>
        <v>46056.5</v>
      </c>
      <c r="N48" s="13">
        <f t="shared" si="6"/>
        <v>2.8342461538461539E-2</v>
      </c>
    </row>
    <row r="49" spans="2:14" ht="38.1" customHeight="1">
      <c r="B49" s="15" t="str">
        <f>Tarifas!B10</f>
        <v>WAPA</v>
      </c>
      <c r="C49" s="15" t="str">
        <f>Tarifas!C10</f>
        <v>Reality-Funcion Estelar 7p</v>
      </c>
      <c r="D49" s="38">
        <f>Tarifas!E10</f>
        <v>3519</v>
      </c>
      <c r="E49" s="39">
        <f t="shared" ref="E49:K49" si="9">E23/$D$23</f>
        <v>5.2351798972015988</v>
      </c>
      <c r="F49" s="39">
        <f t="shared" si="9"/>
        <v>5.2351798972015988</v>
      </c>
      <c r="G49" s="39">
        <f t="shared" si="9"/>
        <v>8.725299828669332</v>
      </c>
      <c r="H49" s="39">
        <f t="shared" si="9"/>
        <v>6.9802408561567297</v>
      </c>
      <c r="I49" s="39">
        <f t="shared" si="9"/>
        <v>6.9802408561567297</v>
      </c>
      <c r="J49" s="39">
        <f t="shared" si="9"/>
        <v>6.9802408561567297</v>
      </c>
      <c r="K49" s="39">
        <f t="shared" si="9"/>
        <v>6.9802408561567297</v>
      </c>
      <c r="L49" s="39">
        <f t="shared" si="5"/>
        <v>47.116623047699449</v>
      </c>
      <c r="M49" s="16">
        <f>ROUND(L49*D49,2)</f>
        <v>165803.4</v>
      </c>
      <c r="N49" s="18">
        <f t="shared" si="6"/>
        <v>0.10203286153846154</v>
      </c>
    </row>
    <row r="50" spans="2:14" ht="38.1" customHeight="1">
      <c r="B50" s="10" t="str">
        <f>Tarifas!B11</f>
        <v>TeleOnce</v>
      </c>
      <c r="C50" s="10" t="str">
        <f>Tarifas!C11</f>
        <v>PR en Vivo</v>
      </c>
      <c r="D50" s="36">
        <f>Tarifas!E11</f>
        <v>586.5</v>
      </c>
      <c r="E50" s="37">
        <f t="shared" ref="E50:K50" si="10">E23/$D$23</f>
        <v>5.2351798972015988</v>
      </c>
      <c r="F50" s="37">
        <f t="shared" si="10"/>
        <v>5.2351798972015988</v>
      </c>
      <c r="G50" s="37">
        <f t="shared" si="10"/>
        <v>8.725299828669332</v>
      </c>
      <c r="H50" s="37">
        <f t="shared" si="10"/>
        <v>6.9802408561567297</v>
      </c>
      <c r="I50" s="37">
        <f t="shared" si="10"/>
        <v>6.9802408561567297</v>
      </c>
      <c r="J50" s="37">
        <f t="shared" si="10"/>
        <v>6.9802408561567297</v>
      </c>
      <c r="K50" s="37">
        <f t="shared" si="10"/>
        <v>6.9802408561567297</v>
      </c>
      <c r="L50" s="37">
        <f t="shared" si="5"/>
        <v>47.116623047699449</v>
      </c>
      <c r="M50" s="11">
        <f>ROUND(L50*D50,2)</f>
        <v>27633.9</v>
      </c>
      <c r="N50" s="13">
        <f t="shared" si="6"/>
        <v>1.7005476923076922E-2</v>
      </c>
    </row>
    <row r="51" spans="2:14" ht="38.1" customHeight="1">
      <c r="B51" s="15" t="str">
        <f>Tarifas!B12</f>
        <v>TeleOnce</v>
      </c>
      <c r="C51" s="15" t="str">
        <f>Tarifas!C12</f>
        <v>Las Noticias Prime</v>
      </c>
      <c r="D51" s="38">
        <f>Tarifas!E12</f>
        <v>1661.75</v>
      </c>
      <c r="E51" s="39">
        <f t="shared" ref="E51:K51" si="11">E23/$D$23</f>
        <v>5.2351798972015988</v>
      </c>
      <c r="F51" s="39">
        <f t="shared" si="11"/>
        <v>5.2351798972015988</v>
      </c>
      <c r="G51" s="39">
        <f t="shared" si="11"/>
        <v>8.725299828669332</v>
      </c>
      <c r="H51" s="39">
        <f t="shared" si="11"/>
        <v>6.9802408561567297</v>
      </c>
      <c r="I51" s="39">
        <f t="shared" si="11"/>
        <v>6.9802408561567297</v>
      </c>
      <c r="J51" s="39">
        <f t="shared" si="11"/>
        <v>6.9802408561567297</v>
      </c>
      <c r="K51" s="39">
        <f t="shared" si="11"/>
        <v>6.9802408561567297</v>
      </c>
      <c r="L51" s="39">
        <f t="shared" si="5"/>
        <v>47.116623047699449</v>
      </c>
      <c r="M51" s="16">
        <f>ROUND(M23-SUM(M46:M50),2)</f>
        <v>78296.039999999994</v>
      </c>
      <c r="N51" s="18">
        <f t="shared" si="6"/>
        <v>4.8182178461538459E-2</v>
      </c>
    </row>
    <row r="52" spans="2:14" ht="30" customHeight="1">
      <c r="B52" s="19" t="s">
        <v>98</v>
      </c>
      <c r="C52" s="19"/>
      <c r="D52" s="19"/>
      <c r="E52" s="19"/>
      <c r="F52" s="19"/>
      <c r="G52" s="19"/>
      <c r="H52" s="19"/>
      <c r="I52" s="19"/>
      <c r="J52" s="19"/>
      <c r="K52" s="19"/>
      <c r="L52" s="19"/>
      <c r="M52" s="20">
        <f>SUM(M46:M51)</f>
        <v>474381.94</v>
      </c>
      <c r="N52" s="19"/>
    </row>
    <row r="53" spans="2:14" ht="24.95" customHeight="1">
      <c r="B53" s="47" t="s">
        <v>41</v>
      </c>
      <c r="C53" s="47"/>
      <c r="D53" s="47"/>
      <c r="E53" s="47"/>
      <c r="F53" s="47"/>
      <c r="G53" s="47"/>
      <c r="H53" s="47"/>
      <c r="I53" s="47"/>
      <c r="J53" s="47"/>
      <c r="K53" s="47"/>
      <c r="L53" s="47"/>
      <c r="M53" s="47"/>
      <c r="N53" s="47"/>
    </row>
    <row r="54" spans="2:14" ht="38.1" customHeight="1">
      <c r="B54" s="10" t="str">
        <f>Tarifas!B13</f>
        <v>Unica Radio-1230am</v>
      </c>
      <c r="C54" s="10" t="str">
        <f>Tarifas!C13</f>
        <v>ROS 7 a. m.–5 p. m.</v>
      </c>
      <c r="D54" s="36">
        <f>Tarifas!E13</f>
        <v>36.799999999999997</v>
      </c>
      <c r="E54" s="37">
        <f t="shared" ref="E54:K54" si="12">E24/$D$24</f>
        <v>17.450613386252932</v>
      </c>
      <c r="F54" s="37">
        <f t="shared" si="12"/>
        <v>17.450613386252932</v>
      </c>
      <c r="G54" s="37">
        <f t="shared" si="12"/>
        <v>52.351810090805223</v>
      </c>
      <c r="H54" s="37">
        <f t="shared" si="12"/>
        <v>34.901196704552291</v>
      </c>
      <c r="I54" s="37">
        <f t="shared" si="12"/>
        <v>34.901196704552291</v>
      </c>
      <c r="J54" s="37">
        <f t="shared" si="12"/>
        <v>34.901196704552291</v>
      </c>
      <c r="K54" s="37">
        <f t="shared" si="12"/>
        <v>34.901196704552291</v>
      </c>
      <c r="L54" s="37">
        <f t="shared" ref="L54:L71" si="13">SUM(E54:K54)</f>
        <v>226.85782368152024</v>
      </c>
      <c r="M54" s="11">
        <f t="shared" ref="M54:M70" si="14">ROUND(L54*D54,2)</f>
        <v>8348.3700000000008</v>
      </c>
      <c r="N54" s="13">
        <f t="shared" ref="N54:N71" si="15">M54/$C$20</f>
        <v>5.1374584615384621E-3</v>
      </c>
    </row>
    <row r="55" spans="2:14" ht="38.1" customHeight="1">
      <c r="B55" s="15" t="str">
        <f>Tarifas!B14</f>
        <v>Radio Once-1120AM</v>
      </c>
      <c r="C55" s="15" t="str">
        <f>Tarifas!C14</f>
        <v>ROS 7 a. m.–5 p. m.</v>
      </c>
      <c r="D55" s="38">
        <f>Tarifas!E14</f>
        <v>36.799999999999997</v>
      </c>
      <c r="E55" s="39">
        <f t="shared" ref="E55:K55" si="16">E24/$D$24</f>
        <v>17.450613386252932</v>
      </c>
      <c r="F55" s="39">
        <f t="shared" si="16"/>
        <v>17.450613386252932</v>
      </c>
      <c r="G55" s="39">
        <f t="shared" si="16"/>
        <v>52.351810090805223</v>
      </c>
      <c r="H55" s="39">
        <f t="shared" si="16"/>
        <v>34.901196704552291</v>
      </c>
      <c r="I55" s="39">
        <f t="shared" si="16"/>
        <v>34.901196704552291</v>
      </c>
      <c r="J55" s="39">
        <f t="shared" si="16"/>
        <v>34.901196704552291</v>
      </c>
      <c r="K55" s="39">
        <f t="shared" si="16"/>
        <v>34.901196704552291</v>
      </c>
      <c r="L55" s="39">
        <f t="shared" si="13"/>
        <v>226.85782368152024</v>
      </c>
      <c r="M55" s="16">
        <f t="shared" si="14"/>
        <v>8348.3700000000008</v>
      </c>
      <c r="N55" s="18">
        <f t="shared" si="15"/>
        <v>5.1374584615384621E-3</v>
      </c>
    </row>
    <row r="56" spans="2:14" ht="38.1" customHeight="1">
      <c r="B56" s="10" t="str">
        <f>Tarifas!B15</f>
        <v>WAPA Radio-Borinquen</v>
      </c>
      <c r="C56" s="10" t="str">
        <f>Tarifas!C15</f>
        <v>ROS 7 a. m.–5 p. m.</v>
      </c>
      <c r="D56" s="36">
        <f>Tarifas!E15</f>
        <v>55.2</v>
      </c>
      <c r="E56" s="37">
        <f t="shared" ref="E56:K56" si="17">E24/$D$24</f>
        <v>17.450613386252932</v>
      </c>
      <c r="F56" s="37">
        <f t="shared" si="17"/>
        <v>17.450613386252932</v>
      </c>
      <c r="G56" s="37">
        <f t="shared" si="17"/>
        <v>52.351810090805223</v>
      </c>
      <c r="H56" s="37">
        <f t="shared" si="17"/>
        <v>34.901196704552291</v>
      </c>
      <c r="I56" s="37">
        <f t="shared" si="17"/>
        <v>34.901196704552291</v>
      </c>
      <c r="J56" s="37">
        <f t="shared" si="17"/>
        <v>34.901196704552291</v>
      </c>
      <c r="K56" s="37">
        <f t="shared" si="17"/>
        <v>34.901196704552291</v>
      </c>
      <c r="L56" s="37">
        <f t="shared" si="13"/>
        <v>226.85782368152024</v>
      </c>
      <c r="M56" s="11">
        <f t="shared" si="14"/>
        <v>12522.55</v>
      </c>
      <c r="N56" s="13">
        <f t="shared" si="15"/>
        <v>7.7061846153846153E-3</v>
      </c>
    </row>
    <row r="57" spans="2:14" ht="38.1" customHeight="1">
      <c r="B57" s="15" t="str">
        <f>Tarifas!B16</f>
        <v>WAEL-FM</v>
      </c>
      <c r="C57" s="15" t="str">
        <f>Tarifas!C16</f>
        <v>ROS 7 a. m.–5 p. m.</v>
      </c>
      <c r="D57" s="38">
        <f>Tarifas!E16</f>
        <v>36.799999999999997</v>
      </c>
      <c r="E57" s="39">
        <f t="shared" ref="E57:K57" si="18">E24/$D$24</f>
        <v>17.450613386252932</v>
      </c>
      <c r="F57" s="39">
        <f t="shared" si="18"/>
        <v>17.450613386252932</v>
      </c>
      <c r="G57" s="39">
        <f t="shared" si="18"/>
        <v>52.351810090805223</v>
      </c>
      <c r="H57" s="39">
        <f t="shared" si="18"/>
        <v>34.901196704552291</v>
      </c>
      <c r="I57" s="39">
        <f t="shared" si="18"/>
        <v>34.901196704552291</v>
      </c>
      <c r="J57" s="39">
        <f t="shared" si="18"/>
        <v>34.901196704552291</v>
      </c>
      <c r="K57" s="39">
        <f t="shared" si="18"/>
        <v>34.901196704552291</v>
      </c>
      <c r="L57" s="39">
        <f t="shared" si="13"/>
        <v>226.85782368152024</v>
      </c>
      <c r="M57" s="16">
        <f t="shared" si="14"/>
        <v>8348.3700000000008</v>
      </c>
      <c r="N57" s="18">
        <f t="shared" si="15"/>
        <v>5.1374584615384621E-3</v>
      </c>
    </row>
    <row r="58" spans="2:14" ht="38.1" customHeight="1">
      <c r="B58" s="10" t="str">
        <f>Tarifas!B17</f>
        <v>WABA-AM (Aguadilla)</v>
      </c>
      <c r="C58" s="10" t="str">
        <f>Tarifas!C17</f>
        <v>ROS 7 a. m.–5 p. m.</v>
      </c>
      <c r="D58" s="36">
        <f>Tarifas!E17</f>
        <v>28.52</v>
      </c>
      <c r="E58" s="37">
        <f t="shared" ref="E58:K58" si="19">E24/$D$24</f>
        <v>17.450613386252932</v>
      </c>
      <c r="F58" s="37">
        <f t="shared" si="19"/>
        <v>17.450613386252932</v>
      </c>
      <c r="G58" s="37">
        <f t="shared" si="19"/>
        <v>52.351810090805223</v>
      </c>
      <c r="H58" s="37">
        <f t="shared" si="19"/>
        <v>34.901196704552291</v>
      </c>
      <c r="I58" s="37">
        <f t="shared" si="19"/>
        <v>34.901196704552291</v>
      </c>
      <c r="J58" s="37">
        <f t="shared" si="19"/>
        <v>34.901196704552291</v>
      </c>
      <c r="K58" s="37">
        <f t="shared" si="19"/>
        <v>34.901196704552291</v>
      </c>
      <c r="L58" s="37">
        <f t="shared" si="13"/>
        <v>226.85782368152024</v>
      </c>
      <c r="M58" s="11">
        <f t="shared" si="14"/>
        <v>6469.99</v>
      </c>
      <c r="N58" s="13">
        <f t="shared" si="15"/>
        <v>3.9815323076923077E-3</v>
      </c>
    </row>
    <row r="59" spans="2:14" ht="38.1" customHeight="1">
      <c r="B59" s="15" t="str">
        <f>Tarifas!B18</f>
        <v>WHOY-AM (Salinas)</v>
      </c>
      <c r="C59" s="15" t="str">
        <f>Tarifas!C18</f>
        <v>ROS 7 a. m.–5 p. m.</v>
      </c>
      <c r="D59" s="38">
        <f>Tarifas!E18</f>
        <v>28.52</v>
      </c>
      <c r="E59" s="39">
        <f t="shared" ref="E59:K59" si="20">E24/$D$24</f>
        <v>17.450613386252932</v>
      </c>
      <c r="F59" s="39">
        <f t="shared" si="20"/>
        <v>17.450613386252932</v>
      </c>
      <c r="G59" s="39">
        <f t="shared" si="20"/>
        <v>52.351810090805223</v>
      </c>
      <c r="H59" s="39">
        <f t="shared" si="20"/>
        <v>34.901196704552291</v>
      </c>
      <c r="I59" s="39">
        <f t="shared" si="20"/>
        <v>34.901196704552291</v>
      </c>
      <c r="J59" s="39">
        <f t="shared" si="20"/>
        <v>34.901196704552291</v>
      </c>
      <c r="K59" s="39">
        <f t="shared" si="20"/>
        <v>34.901196704552291</v>
      </c>
      <c r="L59" s="39">
        <f t="shared" si="13"/>
        <v>226.85782368152024</v>
      </c>
      <c r="M59" s="16">
        <f t="shared" si="14"/>
        <v>6469.99</v>
      </c>
      <c r="N59" s="18">
        <f t="shared" si="15"/>
        <v>3.9815323076923077E-3</v>
      </c>
    </row>
    <row r="60" spans="2:14" ht="38.1" customHeight="1">
      <c r="B60" s="10" t="str">
        <f>Tarifas!B19</f>
        <v>WGDL-AM/FM (Lares/Aguadilla)</v>
      </c>
      <c r="C60" s="10" t="str">
        <f>Tarifas!C19</f>
        <v>ROS 7 a. m.–5 p. m.</v>
      </c>
      <c r="D60" s="36">
        <f>Tarifas!E19</f>
        <v>45.08</v>
      </c>
      <c r="E60" s="37">
        <f t="shared" ref="E60:K60" si="21">E24/$D$24</f>
        <v>17.450613386252932</v>
      </c>
      <c r="F60" s="37">
        <f t="shared" si="21"/>
        <v>17.450613386252932</v>
      </c>
      <c r="G60" s="37">
        <f t="shared" si="21"/>
        <v>52.351810090805223</v>
      </c>
      <c r="H60" s="37">
        <f t="shared" si="21"/>
        <v>34.901196704552291</v>
      </c>
      <c r="I60" s="37">
        <f t="shared" si="21"/>
        <v>34.901196704552291</v>
      </c>
      <c r="J60" s="37">
        <f t="shared" si="21"/>
        <v>34.901196704552291</v>
      </c>
      <c r="K60" s="37">
        <f t="shared" si="21"/>
        <v>34.901196704552291</v>
      </c>
      <c r="L60" s="37">
        <f t="shared" si="13"/>
        <v>226.85782368152024</v>
      </c>
      <c r="M60" s="11">
        <f t="shared" si="14"/>
        <v>10226.75</v>
      </c>
      <c r="N60" s="13">
        <f t="shared" si="15"/>
        <v>6.2933846153846156E-3</v>
      </c>
    </row>
    <row r="61" spans="2:14" ht="38.1" customHeight="1">
      <c r="B61" s="15" t="str">
        <f>Tarifas!B20</f>
        <v>WPRA-AM (Mayaguez)</v>
      </c>
      <c r="C61" s="15" t="str">
        <f>Tarifas!C20</f>
        <v>ROS 7 a. m.–5 p. m.</v>
      </c>
      <c r="D61" s="38">
        <f>Tarifas!E20</f>
        <v>28.52</v>
      </c>
      <c r="E61" s="39">
        <f t="shared" ref="E61:K61" si="22">E24/$D$24</f>
        <v>17.450613386252932</v>
      </c>
      <c r="F61" s="39">
        <f t="shared" si="22"/>
        <v>17.450613386252932</v>
      </c>
      <c r="G61" s="39">
        <f t="shared" si="22"/>
        <v>52.351810090805223</v>
      </c>
      <c r="H61" s="39">
        <f t="shared" si="22"/>
        <v>34.901196704552291</v>
      </c>
      <c r="I61" s="39">
        <f t="shared" si="22"/>
        <v>34.901196704552291</v>
      </c>
      <c r="J61" s="39">
        <f t="shared" si="22"/>
        <v>34.901196704552291</v>
      </c>
      <c r="K61" s="39">
        <f t="shared" si="22"/>
        <v>34.901196704552291</v>
      </c>
      <c r="L61" s="39">
        <f t="shared" si="13"/>
        <v>226.85782368152024</v>
      </c>
      <c r="M61" s="16">
        <f t="shared" si="14"/>
        <v>6469.99</v>
      </c>
      <c r="N61" s="18">
        <f t="shared" si="15"/>
        <v>3.9815323076923077E-3</v>
      </c>
    </row>
    <row r="62" spans="2:14" ht="38.1" customHeight="1">
      <c r="B62" s="10" t="str">
        <f>Tarifas!B21</f>
        <v>WISA-AM (Isabela)</v>
      </c>
      <c r="C62" s="10" t="str">
        <f>Tarifas!C21</f>
        <v>ROS 7 a. m.–5 p. m.</v>
      </c>
      <c r="D62" s="36">
        <f>Tarifas!E21</f>
        <v>28.52</v>
      </c>
      <c r="E62" s="37">
        <f t="shared" ref="E62:K62" si="23">E24/$D$24</f>
        <v>17.450613386252932</v>
      </c>
      <c r="F62" s="37">
        <f t="shared" si="23"/>
        <v>17.450613386252932</v>
      </c>
      <c r="G62" s="37">
        <f t="shared" si="23"/>
        <v>52.351810090805223</v>
      </c>
      <c r="H62" s="37">
        <f t="shared" si="23"/>
        <v>34.901196704552291</v>
      </c>
      <c r="I62" s="37">
        <f t="shared" si="23"/>
        <v>34.901196704552291</v>
      </c>
      <c r="J62" s="37">
        <f t="shared" si="23"/>
        <v>34.901196704552291</v>
      </c>
      <c r="K62" s="37">
        <f t="shared" si="23"/>
        <v>34.901196704552291</v>
      </c>
      <c r="L62" s="37">
        <f t="shared" si="13"/>
        <v>226.85782368152024</v>
      </c>
      <c r="M62" s="11">
        <f t="shared" si="14"/>
        <v>6469.99</v>
      </c>
      <c r="N62" s="13">
        <f t="shared" si="15"/>
        <v>3.9815323076923077E-3</v>
      </c>
    </row>
    <row r="63" spans="2:14" ht="38.1" customHeight="1">
      <c r="B63" s="15" t="str">
        <f>Tarifas!B22</f>
        <v xml:space="preserve">Auspicios: $1,075,000 pendientes de con con el RFP. No están sumados al escenario de $3,763,000. </v>
      </c>
      <c r="C63" s="15" t="str">
        <f>Tarifas!C22</f>
        <v>ROS 7 a. m.–5 p. m.</v>
      </c>
      <c r="D63" s="38">
        <f>Tarifas!E22</f>
        <v>28.52</v>
      </c>
      <c r="E63" s="39">
        <f t="shared" ref="E63:K63" si="24">E24/$D$24</f>
        <v>17.450613386252932</v>
      </c>
      <c r="F63" s="39">
        <f t="shared" si="24"/>
        <v>17.450613386252932</v>
      </c>
      <c r="G63" s="39">
        <f t="shared" si="24"/>
        <v>52.351810090805223</v>
      </c>
      <c r="H63" s="39">
        <f t="shared" si="24"/>
        <v>34.901196704552291</v>
      </c>
      <c r="I63" s="39">
        <f t="shared" si="24"/>
        <v>34.901196704552291</v>
      </c>
      <c r="J63" s="39">
        <f t="shared" si="24"/>
        <v>34.901196704552291</v>
      </c>
      <c r="K63" s="39">
        <f t="shared" si="24"/>
        <v>34.901196704552291</v>
      </c>
      <c r="L63" s="39">
        <f t="shared" si="13"/>
        <v>226.85782368152024</v>
      </c>
      <c r="M63" s="16">
        <f t="shared" si="14"/>
        <v>6469.99</v>
      </c>
      <c r="N63" s="18">
        <f t="shared" si="15"/>
        <v>3.9815323076923077E-3</v>
      </c>
    </row>
    <row r="64" spans="2:14" ht="38.1" customHeight="1">
      <c r="B64" s="10" t="str">
        <f>Tarifas!B23</f>
        <v>WCPR-AM (Coamo)</v>
      </c>
      <c r="C64" s="10" t="str">
        <f>Tarifas!C23</f>
        <v>ROS 7 a. m.–5 p. m.</v>
      </c>
      <c r="D64" s="36">
        <f>Tarifas!E23</f>
        <v>28.52</v>
      </c>
      <c r="E64" s="37">
        <f t="shared" ref="E64:K64" si="25">E24/$D$24</f>
        <v>17.450613386252932</v>
      </c>
      <c r="F64" s="37">
        <f t="shared" si="25"/>
        <v>17.450613386252932</v>
      </c>
      <c r="G64" s="37">
        <f t="shared" si="25"/>
        <v>52.351810090805223</v>
      </c>
      <c r="H64" s="37">
        <f t="shared" si="25"/>
        <v>34.901196704552291</v>
      </c>
      <c r="I64" s="37">
        <f t="shared" si="25"/>
        <v>34.901196704552291</v>
      </c>
      <c r="J64" s="37">
        <f t="shared" si="25"/>
        <v>34.901196704552291</v>
      </c>
      <c r="K64" s="37">
        <f t="shared" si="25"/>
        <v>34.901196704552291</v>
      </c>
      <c r="L64" s="37">
        <f t="shared" si="13"/>
        <v>226.85782368152024</v>
      </c>
      <c r="M64" s="11">
        <f t="shared" si="14"/>
        <v>6469.99</v>
      </c>
      <c r="N64" s="13">
        <f t="shared" si="15"/>
        <v>3.9815323076923077E-3</v>
      </c>
    </row>
    <row r="65" spans="2:14" ht="38.1" customHeight="1">
      <c r="B65" s="15" t="str">
        <f>Tarifas!B24</f>
        <v>WLPR-AM (SanSebastian)</v>
      </c>
      <c r="C65" s="15" t="str">
        <f>Tarifas!C24</f>
        <v>ROS 7 a. m.–5 p. m.</v>
      </c>
      <c r="D65" s="38">
        <f>Tarifas!E24</f>
        <v>28.52</v>
      </c>
      <c r="E65" s="39">
        <f t="shared" ref="E65:K65" si="26">E24/$D$24</f>
        <v>17.450613386252932</v>
      </c>
      <c r="F65" s="39">
        <f t="shared" si="26"/>
        <v>17.450613386252932</v>
      </c>
      <c r="G65" s="39">
        <f t="shared" si="26"/>
        <v>52.351810090805223</v>
      </c>
      <c r="H65" s="39">
        <f t="shared" si="26"/>
        <v>34.901196704552291</v>
      </c>
      <c r="I65" s="39">
        <f t="shared" si="26"/>
        <v>34.901196704552291</v>
      </c>
      <c r="J65" s="39">
        <f t="shared" si="26"/>
        <v>34.901196704552291</v>
      </c>
      <c r="K65" s="39">
        <f t="shared" si="26"/>
        <v>34.901196704552291</v>
      </c>
      <c r="L65" s="39">
        <f t="shared" si="13"/>
        <v>226.85782368152024</v>
      </c>
      <c r="M65" s="16">
        <f t="shared" si="14"/>
        <v>6469.99</v>
      </c>
      <c r="N65" s="18">
        <f t="shared" si="15"/>
        <v>3.9815323076923077E-3</v>
      </c>
    </row>
    <row r="66" spans="2:14" ht="38.1" customHeight="1">
      <c r="B66" s="10" t="str">
        <f>Tarifas!B25</f>
        <v xml:space="preserve">Entregas estimadas con tarifas de referencia. </v>
      </c>
      <c r="C66" s="10" t="str">
        <f>Tarifas!C25</f>
        <v>ROS 7 a. m.–5 p. m.</v>
      </c>
      <c r="D66" s="36">
        <f>Tarifas!E25</f>
        <v>28.52</v>
      </c>
      <c r="E66" s="37">
        <f t="shared" ref="E66:K66" si="27">E24/$D$24</f>
        <v>17.450613386252932</v>
      </c>
      <c r="F66" s="37">
        <f t="shared" si="27"/>
        <v>17.450613386252932</v>
      </c>
      <c r="G66" s="37">
        <f t="shared" si="27"/>
        <v>52.351810090805223</v>
      </c>
      <c r="H66" s="37">
        <f t="shared" si="27"/>
        <v>34.901196704552291</v>
      </c>
      <c r="I66" s="37">
        <f t="shared" si="27"/>
        <v>34.901196704552291</v>
      </c>
      <c r="J66" s="37">
        <f t="shared" si="27"/>
        <v>34.901196704552291</v>
      </c>
      <c r="K66" s="37">
        <f t="shared" si="27"/>
        <v>34.901196704552291</v>
      </c>
      <c r="L66" s="37">
        <f t="shared" si="13"/>
        <v>226.85782368152024</v>
      </c>
      <c r="M66" s="11">
        <f t="shared" si="14"/>
        <v>6469.99</v>
      </c>
      <c r="N66" s="13">
        <f t="shared" si="15"/>
        <v>3.9815323076923077E-3</v>
      </c>
    </row>
    <row r="67" spans="2:14" ht="38.1" customHeight="1">
      <c r="B67" s="15" t="str">
        <f>Tarifas!B26</f>
        <v>WENA-AM (Yauco)</v>
      </c>
      <c r="C67" s="15" t="str">
        <f>Tarifas!C26</f>
        <v>ROS 7 a. m.–5 p. m.</v>
      </c>
      <c r="D67" s="38">
        <f>Tarifas!E26</f>
        <v>28.52</v>
      </c>
      <c r="E67" s="39">
        <f t="shared" ref="E67:K67" si="28">E24/$D$24</f>
        <v>17.450613386252932</v>
      </c>
      <c r="F67" s="39">
        <f t="shared" si="28"/>
        <v>17.450613386252932</v>
      </c>
      <c r="G67" s="39">
        <f t="shared" si="28"/>
        <v>52.351810090805223</v>
      </c>
      <c r="H67" s="39">
        <f t="shared" si="28"/>
        <v>34.901196704552291</v>
      </c>
      <c r="I67" s="39">
        <f t="shared" si="28"/>
        <v>34.901196704552291</v>
      </c>
      <c r="J67" s="39">
        <f t="shared" si="28"/>
        <v>34.901196704552291</v>
      </c>
      <c r="K67" s="39">
        <f t="shared" si="28"/>
        <v>34.901196704552291</v>
      </c>
      <c r="L67" s="39">
        <f t="shared" si="13"/>
        <v>226.85782368152024</v>
      </c>
      <c r="M67" s="16">
        <f t="shared" si="14"/>
        <v>6469.99</v>
      </c>
      <c r="N67" s="18">
        <f t="shared" si="15"/>
        <v>3.9815323076923077E-3</v>
      </c>
    </row>
    <row r="68" spans="2:14" ht="38.1" customHeight="1">
      <c r="B68" s="10" t="str">
        <f>Tarifas!B27</f>
        <v>SuperK 106Fm (Arecibo)</v>
      </c>
      <c r="C68" s="10" t="str">
        <f>Tarifas!C27</f>
        <v>ROS 7 a. m.–5 p. m.</v>
      </c>
      <c r="D68" s="36">
        <f>Tarifas!E27</f>
        <v>69</v>
      </c>
      <c r="E68" s="37">
        <f t="shared" ref="E68:K68" si="29">E24/$D$24</f>
        <v>17.450613386252932</v>
      </c>
      <c r="F68" s="37">
        <f t="shared" si="29"/>
        <v>17.450613386252932</v>
      </c>
      <c r="G68" s="37">
        <f t="shared" si="29"/>
        <v>52.351810090805223</v>
      </c>
      <c r="H68" s="37">
        <f t="shared" si="29"/>
        <v>34.901196704552291</v>
      </c>
      <c r="I68" s="37">
        <f t="shared" si="29"/>
        <v>34.901196704552291</v>
      </c>
      <c r="J68" s="37">
        <f t="shared" si="29"/>
        <v>34.901196704552291</v>
      </c>
      <c r="K68" s="37">
        <f t="shared" si="29"/>
        <v>34.901196704552291</v>
      </c>
      <c r="L68" s="37">
        <f t="shared" si="13"/>
        <v>226.85782368152024</v>
      </c>
      <c r="M68" s="11">
        <f t="shared" si="14"/>
        <v>15653.19</v>
      </c>
      <c r="N68" s="13">
        <f t="shared" si="15"/>
        <v>9.6327323076923071E-3</v>
      </c>
    </row>
    <row r="69" spans="2:14" ht="38.1" customHeight="1">
      <c r="B69" s="15" t="str">
        <f>Tarifas!B28</f>
        <v>Radio Grito (Lares)-Hora del Grito 12md</v>
      </c>
      <c r="C69" s="15" t="s">
        <v>99</v>
      </c>
      <c r="D69" s="38">
        <f>Tarifas!E28</f>
        <v>27.6</v>
      </c>
      <c r="E69" s="39">
        <f t="shared" ref="E69:K69" si="30">E24/$D$24</f>
        <v>17.450613386252932</v>
      </c>
      <c r="F69" s="39">
        <f t="shared" si="30"/>
        <v>17.450613386252932</v>
      </c>
      <c r="G69" s="39">
        <f t="shared" si="30"/>
        <v>52.351810090805223</v>
      </c>
      <c r="H69" s="39">
        <f t="shared" si="30"/>
        <v>34.901196704552291</v>
      </c>
      <c r="I69" s="39">
        <f t="shared" si="30"/>
        <v>34.901196704552291</v>
      </c>
      <c r="J69" s="39">
        <f t="shared" si="30"/>
        <v>34.901196704552291</v>
      </c>
      <c r="K69" s="39">
        <f t="shared" si="30"/>
        <v>34.901196704552291</v>
      </c>
      <c r="L69" s="39">
        <f t="shared" si="13"/>
        <v>226.85782368152024</v>
      </c>
      <c r="M69" s="16">
        <f t="shared" si="14"/>
        <v>6261.28</v>
      </c>
      <c r="N69" s="18">
        <f t="shared" si="15"/>
        <v>3.8530953846153846E-3</v>
      </c>
    </row>
    <row r="70" spans="2:14" ht="38.1" customHeight="1">
      <c r="B70" s="10" t="str">
        <f>Tarifas!B29</f>
        <v>NotiUno (NORTE)-La Hornilla &amp; John Alma-Spots</v>
      </c>
      <c r="C70" s="10" t="s">
        <v>100</v>
      </c>
      <c r="D70" s="36">
        <f>Tarifas!E29</f>
        <v>50.6</v>
      </c>
      <c r="E70" s="37">
        <f t="shared" ref="E70:K70" si="31">E24/$D$24</f>
        <v>17.450613386252932</v>
      </c>
      <c r="F70" s="37">
        <f t="shared" si="31"/>
        <v>17.450613386252932</v>
      </c>
      <c r="G70" s="37">
        <f t="shared" si="31"/>
        <v>52.351810090805223</v>
      </c>
      <c r="H70" s="37">
        <f t="shared" si="31"/>
        <v>34.901196704552291</v>
      </c>
      <c r="I70" s="37">
        <f t="shared" si="31"/>
        <v>34.901196704552291</v>
      </c>
      <c r="J70" s="37">
        <f t="shared" si="31"/>
        <v>34.901196704552291</v>
      </c>
      <c r="K70" s="37">
        <f t="shared" si="31"/>
        <v>34.901196704552291</v>
      </c>
      <c r="L70" s="37">
        <f t="shared" si="13"/>
        <v>226.85782368152024</v>
      </c>
      <c r="M70" s="11">
        <f t="shared" si="14"/>
        <v>11479.01</v>
      </c>
      <c r="N70" s="13">
        <f t="shared" si="15"/>
        <v>7.064006153846154E-3</v>
      </c>
    </row>
    <row r="71" spans="2:14" ht="38.1" customHeight="1">
      <c r="B71" s="15" t="str">
        <f>Tarifas!B30</f>
        <v>NotiUno (SUR-Ponce) ROS</v>
      </c>
      <c r="C71" s="15" t="str">
        <f>Tarifas!C30</f>
        <v>ROS 7 a. m.–5 p. m.</v>
      </c>
      <c r="D71" s="38">
        <f>Tarifas!E30</f>
        <v>50.6</v>
      </c>
      <c r="E71" s="39">
        <f t="shared" ref="E71:K71" si="32">E24/$D$24</f>
        <v>17.450613386252932</v>
      </c>
      <c r="F71" s="39">
        <f t="shared" si="32"/>
        <v>17.450613386252932</v>
      </c>
      <c r="G71" s="39">
        <f t="shared" si="32"/>
        <v>52.351810090805223</v>
      </c>
      <c r="H71" s="39">
        <f t="shared" si="32"/>
        <v>34.901196704552291</v>
      </c>
      <c r="I71" s="39">
        <f t="shared" si="32"/>
        <v>34.901196704552291</v>
      </c>
      <c r="J71" s="39">
        <f t="shared" si="32"/>
        <v>34.901196704552291</v>
      </c>
      <c r="K71" s="39">
        <f t="shared" si="32"/>
        <v>34.901196704552291</v>
      </c>
      <c r="L71" s="39">
        <f t="shared" si="13"/>
        <v>226.85782368152024</v>
      </c>
      <c r="M71" s="16">
        <f>ROUND(M24-SUM(M54:M70),2)</f>
        <v>11478.95</v>
      </c>
      <c r="N71" s="18">
        <f t="shared" si="15"/>
        <v>7.0639692307692308E-3</v>
      </c>
    </row>
    <row r="72" spans="2:14" ht="30" customHeight="1">
      <c r="B72" s="19" t="s">
        <v>101</v>
      </c>
      <c r="C72" s="19"/>
      <c r="D72" s="19"/>
      <c r="E72" s="19"/>
      <c r="F72" s="19"/>
      <c r="G72" s="19"/>
      <c r="H72" s="19"/>
      <c r="I72" s="19"/>
      <c r="J72" s="19"/>
      <c r="K72" s="19"/>
      <c r="L72" s="19"/>
      <c r="M72" s="20">
        <f>SUM(M54:M71)</f>
        <v>150896.75000000006</v>
      </c>
      <c r="N72" s="19"/>
    </row>
    <row r="73" spans="2:14" ht="24.95" customHeight="1">
      <c r="B73" s="47" t="s">
        <v>43</v>
      </c>
      <c r="C73" s="47"/>
      <c r="D73" s="47"/>
      <c r="E73" s="47"/>
      <c r="F73" s="47"/>
      <c r="G73" s="47"/>
      <c r="H73" s="47"/>
      <c r="I73" s="47"/>
      <c r="J73" s="47"/>
      <c r="K73" s="47"/>
      <c r="L73" s="47"/>
      <c r="M73" s="47"/>
      <c r="N73" s="47"/>
    </row>
    <row r="74" spans="2:14" ht="38.1" customHeight="1">
      <c r="B74" s="10" t="str">
        <f>Tarifas!B35</f>
        <v>Meta</v>
      </c>
      <c r="C74" s="10" t="str">
        <f>Tarifas!C35</f>
        <v>Video / Reels / Stories</v>
      </c>
      <c r="D74" s="36">
        <f>Tarifas!E35</f>
        <v>8.625</v>
      </c>
      <c r="E74" s="40">
        <f t="shared" ref="E74:K74" si="33">ROUNDDOWN(E25/$D74*1000,0)</f>
        <v>4568040</v>
      </c>
      <c r="F74" s="40">
        <f t="shared" si="33"/>
        <v>4568040</v>
      </c>
      <c r="G74" s="40">
        <f t="shared" si="33"/>
        <v>10409045</v>
      </c>
      <c r="H74" s="40">
        <f t="shared" si="33"/>
        <v>7197699</v>
      </c>
      <c r="I74" s="40">
        <f t="shared" si="33"/>
        <v>7779386</v>
      </c>
      <c r="J74" s="40">
        <f t="shared" si="33"/>
        <v>7779386</v>
      </c>
      <c r="K74" s="40">
        <f t="shared" si="33"/>
        <v>7779386</v>
      </c>
      <c r="L74" s="40">
        <f>SUM(E74:K74)</f>
        <v>50080982</v>
      </c>
      <c r="M74" s="11">
        <f>M25</f>
        <v>431948.51000000007</v>
      </c>
      <c r="N74" s="13">
        <f>M74/$C$20</f>
        <v>0.26581446769230771</v>
      </c>
    </row>
    <row r="75" spans="2:14" ht="30" customHeight="1">
      <c r="B75" s="19" t="s">
        <v>102</v>
      </c>
      <c r="C75" s="19"/>
      <c r="D75" s="19"/>
      <c r="E75" s="19"/>
      <c r="F75" s="19"/>
      <c r="G75" s="19"/>
      <c r="H75" s="19"/>
      <c r="I75" s="19"/>
      <c r="J75" s="19"/>
      <c r="K75" s="19"/>
      <c r="L75" s="19"/>
      <c r="M75" s="20">
        <f>SUM(M74:M74)</f>
        <v>431948.51000000007</v>
      </c>
      <c r="N75" s="19"/>
    </row>
    <row r="76" spans="2:14" ht="24.95" customHeight="1">
      <c r="B76" s="47" t="s">
        <v>44</v>
      </c>
      <c r="C76" s="47"/>
      <c r="D76" s="47"/>
      <c r="E76" s="47"/>
      <c r="F76" s="47"/>
      <c r="G76" s="47"/>
      <c r="H76" s="47"/>
      <c r="I76" s="47"/>
      <c r="J76" s="47"/>
      <c r="K76" s="47"/>
      <c r="L76" s="47"/>
      <c r="M76" s="47"/>
      <c r="N76" s="47"/>
    </row>
    <row r="77" spans="2:14" ht="38.1" customHeight="1">
      <c r="B77" s="10" t="str">
        <f>Tarifas!B36</f>
        <v>YouTube</v>
      </c>
      <c r="C77" s="10" t="str">
        <f>Tarifas!C36</f>
        <v>Video 15–30 s</v>
      </c>
      <c r="D77" s="36">
        <f>Tarifas!E36</f>
        <v>6.9</v>
      </c>
      <c r="E77" s="40">
        <f t="shared" ref="E77:K77" si="34">ROUNDDOWN(E26/$D77*1000,0)</f>
        <v>4710144</v>
      </c>
      <c r="F77" s="40">
        <f t="shared" si="34"/>
        <v>4710144</v>
      </c>
      <c r="G77" s="40">
        <f t="shared" si="34"/>
        <v>9420289</v>
      </c>
      <c r="H77" s="40">
        <f t="shared" si="34"/>
        <v>7065217</v>
      </c>
      <c r="I77" s="40">
        <f t="shared" si="34"/>
        <v>7065217</v>
      </c>
      <c r="J77" s="40">
        <f t="shared" si="34"/>
        <v>7065217</v>
      </c>
      <c r="K77" s="40">
        <f t="shared" si="34"/>
        <v>7065217</v>
      </c>
      <c r="L77" s="40">
        <f>SUM(E77:K77)</f>
        <v>47101445</v>
      </c>
      <c r="M77" s="11">
        <f>M26</f>
        <v>325000</v>
      </c>
      <c r="N77" s="13">
        <f>M77/$C$20</f>
        <v>0.2</v>
      </c>
    </row>
    <row r="78" spans="2:14" ht="30" customHeight="1">
      <c r="B78" s="19" t="s">
        <v>103</v>
      </c>
      <c r="C78" s="19"/>
      <c r="D78" s="19"/>
      <c r="E78" s="19"/>
      <c r="F78" s="19"/>
      <c r="G78" s="19"/>
      <c r="H78" s="19"/>
      <c r="I78" s="19"/>
      <c r="J78" s="19"/>
      <c r="K78" s="19"/>
      <c r="L78" s="19"/>
      <c r="M78" s="20">
        <f>SUM(M77:M77)</f>
        <v>325000</v>
      </c>
      <c r="N78" s="19"/>
    </row>
    <row r="79" spans="2:14" ht="24.95" customHeight="1">
      <c r="B79" s="47" t="s">
        <v>46</v>
      </c>
      <c r="C79" s="47"/>
      <c r="D79" s="47"/>
      <c r="E79" s="47"/>
      <c r="F79" s="47"/>
      <c r="G79" s="47"/>
      <c r="H79" s="47"/>
      <c r="I79" s="47"/>
      <c r="J79" s="47"/>
      <c r="K79" s="47"/>
      <c r="L79" s="47"/>
      <c r="M79" s="47"/>
      <c r="N79" s="47"/>
    </row>
    <row r="80" spans="2:14" ht="38.1" customHeight="1">
      <c r="B80" s="10" t="str">
        <f>Tarifas!B38</f>
        <v>Gaming</v>
      </c>
      <c r="C80" s="10" t="str">
        <f>Tarifas!C38</f>
        <v>Admazing Video Reward</v>
      </c>
      <c r="D80" s="36">
        <f>Tarifas!E38</f>
        <v>0.115</v>
      </c>
      <c r="E80" s="40">
        <f t="shared" ref="E80:K80" si="35">ROUNDDOWN(E27/$D80*1,0)</f>
        <v>141304</v>
      </c>
      <c r="F80" s="40">
        <f t="shared" si="35"/>
        <v>141304</v>
      </c>
      <c r="G80" s="40">
        <f t="shared" si="35"/>
        <v>282608</v>
      </c>
      <c r="H80" s="40">
        <f t="shared" si="35"/>
        <v>211956</v>
      </c>
      <c r="I80" s="40">
        <f t="shared" si="35"/>
        <v>211956</v>
      </c>
      <c r="J80" s="40">
        <f t="shared" si="35"/>
        <v>211956</v>
      </c>
      <c r="K80" s="40">
        <f t="shared" si="35"/>
        <v>211956</v>
      </c>
      <c r="L80" s="40">
        <f>SUM(E80:K80)</f>
        <v>1413040</v>
      </c>
      <c r="M80" s="11">
        <f>M27</f>
        <v>162500</v>
      </c>
      <c r="N80" s="13">
        <f>M80/$C$20</f>
        <v>0.1</v>
      </c>
    </row>
    <row r="81" spans="2:14" ht="30" customHeight="1">
      <c r="B81" s="19" t="s">
        <v>104</v>
      </c>
      <c r="C81" s="19"/>
      <c r="D81" s="19"/>
      <c r="E81" s="19"/>
      <c r="F81" s="19"/>
      <c r="G81" s="19"/>
      <c r="H81" s="19"/>
      <c r="I81" s="19"/>
      <c r="J81" s="19"/>
      <c r="K81" s="19"/>
      <c r="L81" s="19"/>
      <c r="M81" s="20">
        <f>SUM(M80:M80)</f>
        <v>162500</v>
      </c>
      <c r="N81" s="19"/>
    </row>
    <row r="82" spans="2:14" ht="24.95" customHeight="1">
      <c r="B82" s="47" t="s">
        <v>47</v>
      </c>
      <c r="C82" s="47"/>
      <c r="D82" s="47"/>
      <c r="E82" s="47"/>
      <c r="F82" s="47"/>
      <c r="G82" s="47"/>
      <c r="H82" s="47"/>
      <c r="I82" s="47"/>
      <c r="J82" s="47"/>
      <c r="K82" s="47"/>
      <c r="L82" s="47"/>
      <c r="M82" s="47"/>
      <c r="N82" s="47"/>
    </row>
    <row r="83" spans="2:14" ht="38.1" customHeight="1">
      <c r="B83" s="10" t="str">
        <f>Tarifas!B39</f>
        <v>Creadores e integraciones</v>
      </c>
      <c r="C83" s="10" t="str">
        <f>Tarifas!C39</f>
        <v>1 video + 2 Stories</v>
      </c>
      <c r="D83" s="36">
        <f>Tarifas!E39</f>
        <v>2875</v>
      </c>
      <c r="E83" s="37">
        <f t="shared" ref="E83:K83" si="36">E28/$D$28</f>
        <v>3.4901182608695653</v>
      </c>
      <c r="F83" s="37">
        <f t="shared" si="36"/>
        <v>3.4901182608695653</v>
      </c>
      <c r="G83" s="37">
        <f t="shared" si="36"/>
        <v>5.2351826086956521</v>
      </c>
      <c r="H83" s="37">
        <f t="shared" si="36"/>
        <v>5.2351826086956521</v>
      </c>
      <c r="I83" s="37">
        <f t="shared" si="36"/>
        <v>3.4901182608695653</v>
      </c>
      <c r="J83" s="37">
        <f t="shared" si="36"/>
        <v>3.4901182608695653</v>
      </c>
      <c r="K83" s="37">
        <f t="shared" si="36"/>
        <v>3.4901356521739126</v>
      </c>
      <c r="L83" s="37">
        <f>SUM(E83:K83)</f>
        <v>27.920973913043476</v>
      </c>
      <c r="M83" s="11">
        <f>M28</f>
        <v>80272.800000000003</v>
      </c>
      <c r="N83" s="13">
        <f>M83/$C$20</f>
        <v>4.9398646153846155E-2</v>
      </c>
    </row>
    <row r="84" spans="2:14" ht="30" customHeight="1">
      <c r="B84" s="19" t="s">
        <v>105</v>
      </c>
      <c r="C84" s="19"/>
      <c r="D84" s="19"/>
      <c r="E84" s="19"/>
      <c r="F84" s="19"/>
      <c r="G84" s="19"/>
      <c r="H84" s="19"/>
      <c r="I84" s="19"/>
      <c r="J84" s="19"/>
      <c r="K84" s="19"/>
      <c r="L84" s="19"/>
      <c r="M84" s="20">
        <f>SUM(M83:M83)</f>
        <v>80272.800000000003</v>
      </c>
      <c r="N84" s="19"/>
    </row>
    <row r="85" spans="2:14" ht="27.95" customHeight="1">
      <c r="B85" s="45" t="s">
        <v>106</v>
      </c>
      <c r="C85" s="45"/>
      <c r="D85" s="45"/>
      <c r="E85" s="45"/>
      <c r="F85" s="45"/>
      <c r="G85" s="45"/>
      <c r="H85" s="45"/>
      <c r="I85" s="45"/>
      <c r="J85" s="45"/>
      <c r="K85" s="45"/>
      <c r="L85" s="45"/>
      <c r="M85" s="45"/>
      <c r="N85" s="45"/>
    </row>
  </sheetData>
  <mergeCells count="18">
    <mergeCell ref="B2:O2"/>
    <mergeCell ref="B4:O4"/>
    <mergeCell ref="B8:O8"/>
    <mergeCell ref="B16:N16"/>
    <mergeCell ref="B17:N17"/>
    <mergeCell ref="B18:N18"/>
    <mergeCell ref="B19:N19"/>
    <mergeCell ref="B31:N31"/>
    <mergeCell ref="B32:N32"/>
    <mergeCell ref="B34:N34"/>
    <mergeCell ref="B79:N79"/>
    <mergeCell ref="B82:N82"/>
    <mergeCell ref="B85:N85"/>
    <mergeCell ref="B43:N43"/>
    <mergeCell ref="B45:N45"/>
    <mergeCell ref="B53:N53"/>
    <mergeCell ref="B73:N73"/>
    <mergeCell ref="B76:N76"/>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92667"/>
  </sheetPr>
  <dimension ref="A1:O85"/>
  <sheetViews>
    <sheetView showGridLines="0" workbookViewId="0">
      <pane xSplit="2" ySplit="10" topLeftCell="F83" activePane="bottomRight" state="frozen"/>
      <selection pane="bottomRight" activeCell="B24" sqref="B24:N24"/>
      <selection pane="bottomLeft" activeCell="B24" sqref="B24:N24"/>
      <selection pane="topRight" activeCell="B24" sqref="B24:N24"/>
    </sheetView>
  </sheetViews>
  <sheetFormatPr defaultColWidth="8.875" defaultRowHeight="15"/>
  <cols>
    <col min="1" max="1" width="3" style="2" customWidth="1"/>
    <col min="2" max="2" width="32" style="2" customWidth="1"/>
    <col min="3" max="3" width="28" style="2" customWidth="1"/>
    <col min="4" max="4" width="19" style="2" customWidth="1"/>
    <col min="5" max="15" width="16" style="2" customWidth="1"/>
    <col min="16" max="16384" width="8.875" style="2"/>
  </cols>
  <sheetData>
    <row r="1" spans="1:15">
      <c r="A1" s="1"/>
      <c r="B1" s="1"/>
      <c r="C1" s="1"/>
      <c r="D1" s="1"/>
      <c r="E1" s="1"/>
      <c r="F1" s="1"/>
      <c r="G1" s="1"/>
      <c r="H1" s="1"/>
      <c r="I1" s="1"/>
      <c r="J1" s="1"/>
      <c r="K1" s="1"/>
      <c r="L1" s="1"/>
      <c r="M1" s="1"/>
      <c r="N1" s="1"/>
      <c r="O1" s="1"/>
    </row>
    <row r="2" spans="1:15" ht="32.1" customHeight="1">
      <c r="A2" s="1"/>
      <c r="B2" s="46" t="s">
        <v>107</v>
      </c>
      <c r="C2" s="46"/>
      <c r="D2" s="46"/>
      <c r="E2" s="46"/>
      <c r="F2" s="46"/>
      <c r="G2" s="46"/>
      <c r="H2" s="46"/>
      <c r="I2" s="46"/>
      <c r="J2" s="46"/>
      <c r="K2" s="46"/>
      <c r="L2" s="46"/>
      <c r="M2" s="46"/>
      <c r="N2" s="46"/>
      <c r="O2" s="46"/>
    </row>
    <row r="3" spans="1:15" ht="3.95" customHeight="1">
      <c r="A3" s="1"/>
      <c r="B3" s="3"/>
      <c r="C3" s="3"/>
      <c r="D3" s="3"/>
      <c r="E3" s="3"/>
      <c r="F3" s="3"/>
      <c r="G3" s="3"/>
      <c r="H3" s="3"/>
      <c r="I3" s="3"/>
      <c r="J3" s="3"/>
      <c r="K3" s="3"/>
      <c r="L3" s="3"/>
      <c r="M3" s="3"/>
      <c r="N3" s="3"/>
      <c r="O3" s="3"/>
    </row>
    <row r="4" spans="1:15" ht="30" customHeight="1">
      <c r="A4" s="1"/>
      <c r="B4" s="45" t="s">
        <v>1</v>
      </c>
      <c r="C4" s="45"/>
      <c r="D4" s="45"/>
      <c r="E4" s="45"/>
      <c r="F4" s="45"/>
      <c r="G4" s="45"/>
      <c r="H4" s="45"/>
      <c r="I4" s="45"/>
      <c r="J4" s="45"/>
      <c r="K4" s="45"/>
      <c r="L4" s="45"/>
      <c r="M4" s="45"/>
      <c r="N4" s="45"/>
      <c r="O4" s="45"/>
    </row>
    <row r="5" spans="1:15">
      <c r="A5" s="1"/>
      <c r="B5" s="1"/>
      <c r="C5" s="1"/>
      <c r="D5" s="1"/>
      <c r="E5" s="1"/>
      <c r="F5" s="1"/>
      <c r="G5" s="1"/>
      <c r="H5" s="1"/>
      <c r="I5" s="1"/>
      <c r="J5" s="1"/>
      <c r="K5" s="1"/>
      <c r="L5" s="1"/>
      <c r="M5" s="1"/>
      <c r="N5" s="1"/>
      <c r="O5" s="1"/>
    </row>
    <row r="6" spans="1:15" ht="21">
      <c r="A6" s="1"/>
      <c r="B6" s="1" t="s">
        <v>50</v>
      </c>
      <c r="C6" s="32">
        <f>'AGA y criterios'!D10</f>
        <v>195000</v>
      </c>
      <c r="D6" s="1"/>
      <c r="E6" s="1" t="s">
        <v>6</v>
      </c>
      <c r="F6" s="33">
        <f>L12</f>
        <v>194999.99999999997</v>
      </c>
      <c r="G6" s="1"/>
      <c r="H6" s="1" t="s">
        <v>3</v>
      </c>
      <c r="I6" s="5">
        <f>ROUND(C6-F6,2)</f>
        <v>0</v>
      </c>
      <c r="J6" s="1"/>
      <c r="K6" s="1" t="s">
        <v>51</v>
      </c>
      <c r="L6" s="1"/>
      <c r="M6" s="33">
        <f>'AGA y criterios'!E10</f>
        <v>300000</v>
      </c>
      <c r="N6" s="1"/>
      <c r="O6" s="1"/>
    </row>
    <row r="7" spans="1:15">
      <c r="A7" s="1"/>
      <c r="B7" s="1"/>
      <c r="C7" s="1"/>
      <c r="D7" s="1"/>
      <c r="E7" s="1"/>
      <c r="F7" s="1"/>
      <c r="G7" s="1"/>
      <c r="H7" s="1"/>
      <c r="I7" s="1"/>
      <c r="J7" s="1"/>
      <c r="K7" s="1"/>
      <c r="L7" s="1"/>
      <c r="M7" s="1"/>
      <c r="N7" s="1"/>
      <c r="O7" s="1"/>
    </row>
    <row r="8" spans="1:15" ht="30" customHeight="1">
      <c r="A8" s="1"/>
      <c r="B8" s="45" t="s">
        <v>52</v>
      </c>
      <c r="C8" s="45"/>
      <c r="D8" s="45"/>
      <c r="E8" s="45"/>
      <c r="F8" s="45"/>
      <c r="G8" s="45"/>
      <c r="H8" s="45"/>
      <c r="I8" s="45"/>
      <c r="J8" s="45"/>
      <c r="K8" s="45"/>
      <c r="L8" s="45"/>
      <c r="M8" s="45"/>
      <c r="N8" s="45"/>
      <c r="O8" s="45"/>
    </row>
    <row r="10" spans="1:15" ht="42" customHeight="1">
      <c r="B10" s="6" t="s">
        <v>53</v>
      </c>
      <c r="C10" s="7" t="s">
        <v>54</v>
      </c>
      <c r="D10" s="7" t="s">
        <v>8</v>
      </c>
      <c r="E10" s="7" t="s">
        <v>9</v>
      </c>
      <c r="F10" s="7" t="s">
        <v>10</v>
      </c>
      <c r="G10" s="7" t="s">
        <v>43</v>
      </c>
      <c r="H10" s="7" t="s">
        <v>44</v>
      </c>
      <c r="I10" s="7" t="s">
        <v>45</v>
      </c>
      <c r="J10" s="7" t="s">
        <v>46</v>
      </c>
      <c r="K10" s="7" t="s">
        <v>12</v>
      </c>
      <c r="L10" s="7" t="s">
        <v>55</v>
      </c>
      <c r="M10" s="7" t="s">
        <v>3</v>
      </c>
      <c r="N10" s="8" t="s">
        <v>56</v>
      </c>
    </row>
    <row r="11" spans="1:15" ht="30.95" customHeight="1">
      <c r="B11" s="10" t="s">
        <v>17</v>
      </c>
      <c r="C11" s="11">
        <f>'AGA y criterios'!D27</f>
        <v>195000</v>
      </c>
      <c r="D11" s="11">
        <f>K23</f>
        <v>56925.819999999992</v>
      </c>
      <c r="E11" s="11">
        <f>K24</f>
        <v>18107.62</v>
      </c>
      <c r="F11" s="11">
        <v>0</v>
      </c>
      <c r="G11" s="11">
        <f>K25</f>
        <v>51833.819999999992</v>
      </c>
      <c r="H11" s="11">
        <f>K26</f>
        <v>39000</v>
      </c>
      <c r="I11" s="11">
        <v>0</v>
      </c>
      <c r="J11" s="11">
        <f>K27</f>
        <v>19500</v>
      </c>
      <c r="K11" s="11">
        <f>K28</f>
        <v>9632.74</v>
      </c>
      <c r="L11" s="11">
        <f>K29</f>
        <v>194999.99999999997</v>
      </c>
      <c r="M11" s="11">
        <f>ROUND(C11-L11,2)</f>
        <v>0</v>
      </c>
      <c r="N11" s="13">
        <f>L11/$C$6</f>
        <v>0.99999999999999989</v>
      </c>
    </row>
    <row r="12" spans="1:15" ht="30" customHeight="1">
      <c r="B12" s="34" t="s">
        <v>57</v>
      </c>
      <c r="C12" s="20">
        <f t="shared" ref="C12:N12" si="0">SUM(C11:C11)</f>
        <v>195000</v>
      </c>
      <c r="D12" s="20">
        <f t="shared" si="0"/>
        <v>56925.819999999992</v>
      </c>
      <c r="E12" s="20">
        <f t="shared" si="0"/>
        <v>18107.62</v>
      </c>
      <c r="F12" s="20">
        <f t="shared" si="0"/>
        <v>0</v>
      </c>
      <c r="G12" s="20">
        <f t="shared" si="0"/>
        <v>51833.819999999992</v>
      </c>
      <c r="H12" s="20">
        <f t="shared" si="0"/>
        <v>39000</v>
      </c>
      <c r="I12" s="20">
        <f t="shared" si="0"/>
        <v>0</v>
      </c>
      <c r="J12" s="20">
        <f t="shared" si="0"/>
        <v>19500</v>
      </c>
      <c r="K12" s="20">
        <f t="shared" si="0"/>
        <v>9632.74</v>
      </c>
      <c r="L12" s="20">
        <f t="shared" si="0"/>
        <v>194999.99999999997</v>
      </c>
      <c r="M12" s="20">
        <f t="shared" si="0"/>
        <v>0</v>
      </c>
      <c r="N12" s="22">
        <f t="shared" si="0"/>
        <v>0.99999999999999989</v>
      </c>
    </row>
    <row r="16" spans="1:15" ht="24.95" customHeight="1">
      <c r="B16" s="47" t="s">
        <v>107</v>
      </c>
      <c r="C16" s="47"/>
      <c r="D16" s="47"/>
      <c r="E16" s="47"/>
      <c r="F16" s="47"/>
      <c r="G16" s="47"/>
      <c r="H16" s="47"/>
      <c r="I16" s="47"/>
      <c r="J16" s="47"/>
      <c r="K16" s="47"/>
      <c r="L16" s="47"/>
      <c r="M16" s="47"/>
      <c r="N16" s="47"/>
    </row>
    <row r="17" spans="2:14" ht="32.1" customHeight="1">
      <c r="B17" s="45" t="s">
        <v>108</v>
      </c>
      <c r="C17" s="45"/>
      <c r="D17" s="45"/>
      <c r="E17" s="45"/>
      <c r="F17" s="45"/>
      <c r="G17" s="45"/>
      <c r="H17" s="45"/>
      <c r="I17" s="45"/>
      <c r="J17" s="45"/>
      <c r="K17" s="45"/>
      <c r="L17" s="45"/>
      <c r="M17" s="45"/>
      <c r="N17" s="45"/>
    </row>
    <row r="18" spans="2:14" ht="32.1" customHeight="1">
      <c r="B18" s="45" t="s">
        <v>109</v>
      </c>
      <c r="C18" s="45"/>
      <c r="D18" s="45"/>
      <c r="E18" s="45"/>
      <c r="F18" s="45"/>
      <c r="G18" s="45"/>
      <c r="H18" s="45"/>
      <c r="I18" s="45"/>
      <c r="J18" s="45"/>
      <c r="K18" s="45"/>
      <c r="L18" s="45"/>
      <c r="M18" s="45"/>
      <c r="N18" s="45"/>
    </row>
    <row r="19" spans="2:14" ht="33.950000000000003" customHeight="1">
      <c r="B19" s="45" t="s">
        <v>110</v>
      </c>
      <c r="C19" s="45"/>
      <c r="D19" s="45"/>
      <c r="E19" s="45"/>
      <c r="F19" s="45"/>
      <c r="G19" s="45"/>
      <c r="H19" s="45"/>
      <c r="I19" s="45"/>
      <c r="J19" s="45"/>
      <c r="K19" s="45"/>
      <c r="L19" s="45"/>
      <c r="M19" s="45"/>
      <c r="N19" s="45"/>
    </row>
    <row r="20" spans="2:14">
      <c r="B20" s="2" t="s">
        <v>61</v>
      </c>
      <c r="C20" s="35">
        <f>'AGA y criterios'!D27</f>
        <v>195000</v>
      </c>
    </row>
    <row r="22" spans="2:14" ht="42" customHeight="1">
      <c r="B22" s="6" t="s">
        <v>34</v>
      </c>
      <c r="C22" s="7" t="s">
        <v>63</v>
      </c>
      <c r="D22" s="7" t="s">
        <v>64</v>
      </c>
      <c r="E22" s="7" t="s">
        <v>67</v>
      </c>
      <c r="F22" s="7" t="s">
        <v>68</v>
      </c>
      <c r="G22" s="7" t="s">
        <v>69</v>
      </c>
      <c r="H22" s="7" t="s">
        <v>70</v>
      </c>
      <c r="I22" s="7" t="s">
        <v>71</v>
      </c>
      <c r="J22" s="7" t="s">
        <v>72</v>
      </c>
      <c r="K22" s="7" t="s">
        <v>2</v>
      </c>
      <c r="L22" s="8" t="s">
        <v>13</v>
      </c>
    </row>
    <row r="23" spans="2:14" ht="30.95" customHeight="1">
      <c r="B23" s="10" t="s">
        <v>8</v>
      </c>
      <c r="C23" s="10" t="s">
        <v>73</v>
      </c>
      <c r="D23" s="36">
        <f>SUM(Tarifas!E7:E12)</f>
        <v>10068.25</v>
      </c>
      <c r="E23" s="11">
        <f>ROUND($C$20*(SUM('Base de distribución'!E8,'Base de distribución'!E9,'Base de distribución'!E10,'Base de distribución'!E11,'Base de distribución'!E12,'Base de distribución'!E13,'Base de distribución'!E14)/SUM('Base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distribución'!E10,'Base de distribución'!E17,'Base de distribución'!E24,'Base de distribución'!E31,'Base de distribución'!E38,'Base de distribución'!E45)/SUM('Base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14231.46</v>
      </c>
      <c r="F23" s="11">
        <f>ROUND($C$20*(SUM('Base de distribución'!E8,'Base de distribución'!E9,'Base de distribución'!E10,'Base de distribución'!E11,'Base de distribución'!E12,'Base de distribución'!E13,'Base de distribución'!E14)/SUM('Base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distribución'!E11,'Base de distribución'!E18,'Base de distribución'!E25,'Base de distribución'!E32,'Base de distribución'!E39,'Base de distribución'!E46)/SUM('Base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10673.59</v>
      </c>
      <c r="G23" s="11">
        <f>ROUND($C$20*(SUM('Base de distribución'!E8,'Base de distribución'!E9,'Base de distribución'!E10,'Base de distribución'!E11,'Base de distribución'!E12,'Base de distribución'!E13,'Base de distribución'!E14)/SUM('Base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distribución'!E12,'Base de distribución'!E19,'Base de distribución'!E26,'Base de distribución'!E33,'Base de distribución'!E40,'Base de distribución'!E47)/SUM('Base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10673.59</v>
      </c>
      <c r="H23" s="11">
        <f>ROUND($C$20*(SUM('Base de distribución'!E8,'Base de distribución'!E9,'Base de distribución'!E10,'Base de distribución'!E11,'Base de distribución'!E12,'Base de distribución'!E13,'Base de distribución'!E14)/SUM('Base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distribución'!E13,'Base de distribución'!E20,'Base de distribución'!E27,'Base de distribución'!E34,'Base de distribución'!E41,'Base de distribución'!E48)/SUM('Base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10673.59</v>
      </c>
      <c r="I23" s="11">
        <f>ROUND($C$20*(SUM('Base de distribución'!E8,'Base de distribución'!E9,'Base de distribución'!E10,'Base de distribución'!E11,'Base de distribución'!E12,'Base de distribución'!E13,'Base de distribución'!E14)/SUM('Base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distribución'!E14,'Base de distribución'!E21,'Base de distribución'!E28,'Base de distribución'!E35,'Base de distribución'!E42,'Base de distribución'!E49)/SUM('Base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10673.59</v>
      </c>
      <c r="J23" s="37">
        <f>SUM(J46:J51)</f>
        <v>33.923960966404287</v>
      </c>
      <c r="K23" s="11">
        <f t="shared" ref="K23:K28" si="1">SUM(E23:I23)</f>
        <v>56925.819999999992</v>
      </c>
      <c r="L23" s="13">
        <f t="shared" ref="L23:L28" si="2">K23/$C$20</f>
        <v>0.29192728205128199</v>
      </c>
      <c r="M23" s="9"/>
      <c r="N23" s="9"/>
    </row>
    <row r="24" spans="2:14" ht="30.95" customHeight="1">
      <c r="B24" s="15" t="s">
        <v>41</v>
      </c>
      <c r="C24" s="15" t="s">
        <v>74</v>
      </c>
      <c r="D24" s="38">
        <f>SUM(Tarifas!E13:E30)</f>
        <v>665.16</v>
      </c>
      <c r="E24" s="16">
        <f>ROUND($C$20*(SUM('Base de distribución'!E15,'Base de distribución'!E16,'Base de distribución'!E17,'Base de distribución'!E18,'Base de distribución'!E19,'Base de distribución'!E20,'Base de distribución'!E21)/SUM('Base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distribución'!E10,'Base de distribución'!E17,'Base de distribución'!E24,'Base de distribución'!E31,'Base de distribución'!E38,'Base de distribución'!E45)/SUM('Base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4526.8999999999996</v>
      </c>
      <c r="F24" s="16">
        <f>ROUND($C$20*(SUM('Base de distribución'!E15,'Base de distribución'!E16,'Base de distribución'!E17,'Base de distribución'!E18,'Base de distribución'!E19,'Base de distribución'!E20,'Base de distribución'!E21)/SUM('Base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distribución'!E11,'Base de distribución'!E18,'Base de distribución'!E25,'Base de distribución'!E32,'Base de distribución'!E39,'Base de distribución'!E46)/SUM('Base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3395.18</v>
      </c>
      <c r="G24" s="16">
        <f>ROUND($C$20*(SUM('Base de distribución'!E15,'Base de distribución'!E16,'Base de distribución'!E17,'Base de distribución'!E18,'Base de distribución'!E19,'Base de distribución'!E20,'Base de distribución'!E21)/SUM('Base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distribución'!E12,'Base de distribución'!E19,'Base de distribución'!E26,'Base de distribución'!E33,'Base de distribución'!E40,'Base de distribución'!E47)/SUM('Base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3395.18</v>
      </c>
      <c r="H24" s="16">
        <f>ROUND($C$20*(SUM('Base de distribución'!E15,'Base de distribución'!E16,'Base de distribución'!E17,'Base de distribución'!E18,'Base de distribución'!E19,'Base de distribución'!E20,'Base de distribución'!E21)/SUM('Base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distribución'!E13,'Base de distribución'!E20,'Base de distribución'!E27,'Base de distribución'!E34,'Base de distribución'!E41,'Base de distribución'!E48)/SUM('Base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3395.18</v>
      </c>
      <c r="I24" s="16">
        <f>ROUND($C$20*(SUM('Base de distribución'!E15,'Base de distribución'!E16,'Base de distribución'!E17,'Base de distribución'!E18,'Base de distribución'!E19,'Base de distribución'!E20,'Base de distribución'!E21)/SUM('Base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distribución'!E14,'Base de distribución'!E21,'Base de distribución'!E28,'Base de distribución'!E35,'Base de distribución'!E42,'Base de distribución'!E49)/SUM('Base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3395.18</v>
      </c>
      <c r="J24" s="39">
        <f>SUM(J54:J71)</f>
        <v>490.01316976366593</v>
      </c>
      <c r="K24" s="16">
        <f t="shared" si="1"/>
        <v>18107.62</v>
      </c>
      <c r="L24" s="18">
        <f t="shared" si="2"/>
        <v>9.2859589743589738E-2</v>
      </c>
      <c r="M24" s="14"/>
      <c r="N24" s="14"/>
    </row>
    <row r="25" spans="2:14" ht="30.95" customHeight="1">
      <c r="B25" s="10" t="s">
        <v>37</v>
      </c>
      <c r="C25" s="10" t="s">
        <v>75</v>
      </c>
      <c r="D25" s="36">
        <f>Tarifas!E35</f>
        <v>8.625</v>
      </c>
      <c r="E25" s="11">
        <f>ROUND($C$20*(SUM('Base de distribución'!E22,'Base de distribución'!E23,'Base de distribución'!E24,'Base de distribución'!E25,'Base de distribución'!E26,'Base de distribución'!E27,'Base de distribución'!E28)/SUM('Base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distribución'!E10,'Base de distribución'!E17,'Base de distribución'!E24,'Base de distribución'!E31,'Base de distribución'!E38,'Base de distribución'!E45)/SUM('Base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12958.46</v>
      </c>
      <c r="F25" s="11">
        <f>ROUND($C$20*(SUM('Base de distribución'!E22,'Base de distribución'!E23,'Base de distribución'!E24,'Base de distribución'!E25,'Base de distribución'!E26,'Base de distribución'!E27,'Base de distribución'!E28)/SUM('Base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distribución'!E11,'Base de distribución'!E18,'Base de distribución'!E25,'Base de distribución'!E32,'Base de distribución'!E39,'Base de distribución'!E46)/SUM('Base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9718.84</v>
      </c>
      <c r="G25" s="11">
        <f>ROUND($C$20*(SUM('Base de distribución'!E22,'Base de distribución'!E23,'Base de distribución'!E24,'Base de distribución'!E25,'Base de distribución'!E26,'Base de distribución'!E27,'Base de distribución'!E28)/SUM('Base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distribución'!E12,'Base de distribución'!E19,'Base de distribución'!E26,'Base de distribución'!E33,'Base de distribución'!E40,'Base de distribución'!E47)/SUM('Base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9718.84</v>
      </c>
      <c r="H25" s="11">
        <f>ROUND($C$20*(SUM('Base de distribución'!E22,'Base de distribución'!E23,'Base de distribución'!E24,'Base de distribución'!E25,'Base de distribución'!E26,'Base de distribución'!E27,'Base de distribución'!E28)/SUM('Base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distribución'!E13,'Base de distribución'!E20,'Base de distribución'!E27,'Base de distribución'!E34,'Base de distribución'!E41,'Base de distribución'!E48)/SUM('Base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9718.84</v>
      </c>
      <c r="I25" s="11">
        <f>ROUND($C$20*(SUM('Base de distribución'!E22,'Base de distribución'!E23,'Base de distribución'!E24,'Base de distribución'!E25,'Base de distribución'!E26,'Base de distribución'!E27,'Base de distribución'!E28)/SUM('Base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distribución'!E14,'Base de distribución'!E21,'Base de distribución'!E28,'Base de distribución'!E35,'Base de distribución'!E42,'Base de distribución'!E49)/SUM('Base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9718.84</v>
      </c>
      <c r="J25" s="40">
        <f>SUM(J74:J74)</f>
        <v>6009718</v>
      </c>
      <c r="K25" s="11">
        <f t="shared" si="1"/>
        <v>51833.819999999992</v>
      </c>
      <c r="L25" s="13">
        <f t="shared" si="2"/>
        <v>0.2658144615384615</v>
      </c>
      <c r="M25" s="9"/>
      <c r="N25" s="9"/>
    </row>
    <row r="26" spans="2:14" ht="30.95" customHeight="1">
      <c r="B26" s="15" t="s">
        <v>44</v>
      </c>
      <c r="C26" s="15" t="s">
        <v>75</v>
      </c>
      <c r="D26" s="38">
        <f>Tarifas!E36</f>
        <v>6.9</v>
      </c>
      <c r="E26" s="16">
        <f>ROUND($C$20*(SUM('Base de distribución'!E29,'Base de distribución'!E30,'Base de distribución'!E31,'Base de distribución'!E32,'Base de distribución'!E33,'Base de distribución'!E34,'Base de distribución'!E35)/SUM('Base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distribución'!E10,'Base de distribución'!E17,'Base de distribución'!E24,'Base de distribución'!E31,'Base de distribución'!E38,'Base de distribución'!E45)/SUM('Base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9750</v>
      </c>
      <c r="F26" s="16">
        <f>ROUND($C$20*(SUM('Base de distribución'!E29,'Base de distribución'!E30,'Base de distribución'!E31,'Base de distribución'!E32,'Base de distribución'!E33,'Base de distribución'!E34,'Base de distribución'!E35)/SUM('Base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distribución'!E11,'Base de distribución'!E18,'Base de distribución'!E25,'Base de distribución'!E32,'Base de distribución'!E39,'Base de distribución'!E46)/SUM('Base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7312.5</v>
      </c>
      <c r="G26" s="16">
        <f>ROUND($C$20*(SUM('Base de distribución'!E29,'Base de distribución'!E30,'Base de distribución'!E31,'Base de distribución'!E32,'Base de distribución'!E33,'Base de distribución'!E34,'Base de distribución'!E35)/SUM('Base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distribución'!E12,'Base de distribución'!E19,'Base de distribución'!E26,'Base de distribución'!E33,'Base de distribución'!E40,'Base de distribución'!E47)/SUM('Base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7312.5</v>
      </c>
      <c r="H26" s="16">
        <f>ROUND($C$20*(SUM('Base de distribución'!E29,'Base de distribución'!E30,'Base de distribución'!E31,'Base de distribución'!E32,'Base de distribución'!E33,'Base de distribución'!E34,'Base de distribución'!E35)/SUM('Base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distribución'!E13,'Base de distribución'!E20,'Base de distribución'!E27,'Base de distribución'!E34,'Base de distribución'!E41,'Base de distribución'!E48)/SUM('Base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7312.5</v>
      </c>
      <c r="I26" s="16">
        <f>ROUND($C$20*(SUM('Base de distribución'!E29,'Base de distribución'!E30,'Base de distribución'!E31,'Base de distribución'!E32,'Base de distribución'!E33,'Base de distribución'!E34,'Base de distribución'!E35)/SUM('Base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distribución'!E14,'Base de distribución'!E21,'Base de distribución'!E28,'Base de distribución'!E35,'Base de distribución'!E42,'Base de distribución'!E49)/SUM('Base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7312.5</v>
      </c>
      <c r="J26" s="41">
        <f>SUM(J77:J77)</f>
        <v>5652171</v>
      </c>
      <c r="K26" s="16">
        <f t="shared" si="1"/>
        <v>39000</v>
      </c>
      <c r="L26" s="18">
        <f t="shared" si="2"/>
        <v>0.2</v>
      </c>
      <c r="M26" s="14"/>
      <c r="N26" s="14"/>
    </row>
    <row r="27" spans="2:14" ht="30.95" customHeight="1">
      <c r="B27" s="10" t="s">
        <v>46</v>
      </c>
      <c r="C27" s="10" t="s">
        <v>76</v>
      </c>
      <c r="D27" s="36">
        <f>Tarifas!E38</f>
        <v>0.115</v>
      </c>
      <c r="E27" s="11">
        <f>ROUND($C$20*(SUM('Base de distribución'!E36,'Base de distribución'!E37,'Base de distribución'!E38,'Base de distribución'!E39,'Base de distribución'!E40,'Base de distribución'!E41,'Base de distribución'!E42)/SUM('Base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distribución'!E10,'Base de distribución'!E17,'Base de distribución'!E24,'Base de distribución'!E31,'Base de distribución'!E38,'Base de distribución'!E45)/SUM('Base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4875</v>
      </c>
      <c r="F27" s="11">
        <f>ROUND($C$20*(SUM('Base de distribución'!E36,'Base de distribución'!E37,'Base de distribución'!E38,'Base de distribución'!E39,'Base de distribución'!E40,'Base de distribución'!E41,'Base de distribución'!E42)/SUM('Base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distribución'!E11,'Base de distribución'!E18,'Base de distribución'!E25,'Base de distribución'!E32,'Base de distribución'!E39,'Base de distribución'!E46)/SUM('Base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3656.25</v>
      </c>
      <c r="G27" s="11">
        <f>ROUND($C$20*(SUM('Base de distribución'!E36,'Base de distribución'!E37,'Base de distribución'!E38,'Base de distribución'!E39,'Base de distribución'!E40,'Base de distribución'!E41,'Base de distribución'!E42)/SUM('Base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distribución'!E12,'Base de distribución'!E19,'Base de distribución'!E26,'Base de distribución'!E33,'Base de distribución'!E40,'Base de distribución'!E47)/SUM('Base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3656.25</v>
      </c>
      <c r="H27" s="11">
        <f>ROUND($C$20*(SUM('Base de distribución'!E36,'Base de distribución'!E37,'Base de distribución'!E38,'Base de distribución'!E39,'Base de distribución'!E40,'Base de distribución'!E41,'Base de distribución'!E42)/SUM('Base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distribución'!E13,'Base de distribución'!E20,'Base de distribución'!E27,'Base de distribución'!E34,'Base de distribución'!E41,'Base de distribución'!E48)/SUM('Base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3656.25</v>
      </c>
      <c r="I27" s="11">
        <f>ROUND($C$20*(SUM('Base de distribución'!E36,'Base de distribución'!E37,'Base de distribución'!E38,'Base de distribución'!E39,'Base de distribución'!E40,'Base de distribución'!E41,'Base de distribución'!E42)/SUM('Base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distribución'!E14,'Base de distribución'!E21,'Base de distribución'!E28,'Base de distribución'!E35,'Base de distribución'!E42,'Base de distribución'!E49)/SUM('Base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3656.25</v>
      </c>
      <c r="J27" s="40">
        <f>SUM(J80:J80)</f>
        <v>169563</v>
      </c>
      <c r="K27" s="11">
        <f t="shared" si="1"/>
        <v>19500</v>
      </c>
      <c r="L27" s="13">
        <f t="shared" si="2"/>
        <v>0.1</v>
      </c>
      <c r="M27" s="9"/>
      <c r="N27" s="9"/>
    </row>
    <row r="28" spans="2:14" ht="30.95" customHeight="1">
      <c r="B28" s="15" t="s">
        <v>47</v>
      </c>
      <c r="C28" s="15" t="s">
        <v>77</v>
      </c>
      <c r="D28" s="38">
        <f>Tarifas!E39</f>
        <v>2875</v>
      </c>
      <c r="E28" s="16">
        <f>ROUND($C$20*(SUM('Base de distribución'!E43,'Base de distribución'!E44,'Base de distribución'!E45,'Base de distribución'!E46,'Base de distribución'!E47,'Base de distribución'!E48,'Base de distribución'!E49)/SUM('Base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distribución'!E10,'Base de distribución'!E17,'Base de distribución'!E24,'Base de distribución'!E31,'Base de distribución'!E38,'Base de distribución'!E45)/SUM('Base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2408.1799999999998</v>
      </c>
      <c r="F28" s="16">
        <f>ROUND($C$20*(SUM('Base de distribución'!E43,'Base de distribución'!E44,'Base de distribución'!E45,'Base de distribución'!E46,'Base de distribución'!E47,'Base de distribución'!E48,'Base de distribución'!E49)/SUM('Base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distribución'!E11,'Base de distribución'!E18,'Base de distribución'!E25,'Base de distribución'!E32,'Base de distribución'!E39,'Base de distribución'!E46)/SUM('Base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1806.14</v>
      </c>
      <c r="G28" s="16">
        <f>ROUND($C$20*(SUM('Base de distribución'!E43,'Base de distribución'!E44,'Base de distribución'!E45,'Base de distribución'!E46,'Base de distribución'!E47,'Base de distribución'!E48,'Base de distribución'!E49)/SUM('Base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distribución'!E12,'Base de distribución'!E19,'Base de distribución'!E26,'Base de distribución'!E33,'Base de distribución'!E40,'Base de distribución'!E47)/SUM('Base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1806.14</v>
      </c>
      <c r="H28" s="16">
        <f>ROUND($C$20*(SUM('Base de distribución'!E43,'Base de distribución'!E44,'Base de distribución'!E45,'Base de distribución'!E46,'Base de distribución'!E47,'Base de distribución'!E48,'Base de distribución'!E49)/SUM('Base de distribución'!E8,'Base de distribución'!E9,'Base de distribución'!E10,'Base de distribución'!E11,'Base de distribución'!E12,'Base de distribución'!E13,'Base de distribución'!E14,'Base de distribución'!E15,'Base de distribución'!E16,'Base de distribución'!E17,'Base de distribución'!E18,'Base de distribución'!E19,'Base de distribución'!E20,'Base de distribución'!E21,'Base de distribución'!E22,'Base de distribución'!E23,'Base de distribución'!E24,'Base de distribución'!E25,'Base de distribución'!E26,'Base de distribución'!E27,'Base de distribución'!E28,'Base de distribución'!E29,'Base de distribución'!E30,'Base de distribución'!E31,'Base de distribución'!E32,'Base de distribución'!E33,'Base de distribución'!E34,'Base de distribución'!E35,'Base de distribución'!E36,'Base de distribución'!E37,'Base de distribución'!E38,'Base de distribución'!E39,'Base de distribución'!E40,'Base de distribución'!E41,'Base de distribución'!E42,'Base de distribución'!E43,'Base de distribución'!E44,'Base de distribución'!E45,'Base de distribución'!E46,'Base de distribución'!E47,'Base de distribución'!E48,'Base de distribución'!E49)*SUM('Base de distribución'!E13,'Base de distribución'!E20,'Base de distribución'!E27,'Base de distribución'!E34,'Base de distribución'!E41,'Base de distribución'!E48)/SUM('Base de distribución'!E10,'Base de distribución'!E11,'Base de distribución'!E12,'Base de distribución'!E13,'Base de distribución'!E14,'Base de distribución'!E17,'Base de distribución'!E18,'Base de distribución'!E19,'Base de distribución'!E20,'Base de distribución'!E21,'Base de distribución'!E24,'Base de distribución'!E25,'Base de distribución'!E26,'Base de distribución'!E27,'Base de distribución'!E28,'Base de distribución'!E31,'Base de distribución'!E32,'Base de distribución'!E33,'Base de distribución'!E34,'Base de distribución'!E35,'Base de distribución'!E38,'Base de distribución'!E39,'Base de distribución'!E40,'Base de distribución'!E41,'Base de distribución'!E42,'Base de distribución'!E45,'Base de distribución'!E46,'Base de distribución'!E47,'Base de distribución'!E48,'Base de distribución'!E49)),2)</f>
        <v>1806.14</v>
      </c>
      <c r="I28" s="16">
        <f>ROUND($C$20-SUM(E23:I23,E24:I24,E25:I25,E26:I26,E27:I27,E28:H28),2)</f>
        <v>1806.14</v>
      </c>
      <c r="J28" s="39">
        <f>J83*Tarifas!F39</f>
        <v>10.051554782608696</v>
      </c>
      <c r="K28" s="16">
        <f t="shared" si="1"/>
        <v>9632.74</v>
      </c>
      <c r="L28" s="18">
        <f t="shared" si="2"/>
        <v>4.9398666666666667E-2</v>
      </c>
      <c r="M28" s="14"/>
      <c r="N28" s="14"/>
    </row>
    <row r="29" spans="2:14" ht="30" customHeight="1">
      <c r="B29" s="19" t="s">
        <v>78</v>
      </c>
      <c r="C29" s="19"/>
      <c r="D29" s="19"/>
      <c r="E29" s="20">
        <f>SUM(E23:E28)</f>
        <v>48750</v>
      </c>
      <c r="F29" s="20">
        <f>SUM(F23:F28)</f>
        <v>36562.5</v>
      </c>
      <c r="G29" s="20">
        <f>SUM(G23:G28)</f>
        <v>36562.5</v>
      </c>
      <c r="H29" s="20">
        <f>SUM(H23:H28)</f>
        <v>36562.5</v>
      </c>
      <c r="I29" s="20">
        <f>SUM(I23:I28)</f>
        <v>36562.5</v>
      </c>
      <c r="J29" s="19"/>
      <c r="K29" s="20">
        <f>SUM(K23:K28)</f>
        <v>194999.99999999997</v>
      </c>
      <c r="L29" s="22">
        <f>SUM(L23:L28)</f>
        <v>0.99999999999999978</v>
      </c>
      <c r="M29" s="19"/>
      <c r="N29" s="19"/>
    </row>
    <row r="30" spans="2:14">
      <c r="B30" s="2" t="s">
        <v>79</v>
      </c>
      <c r="C30" s="42">
        <f>ROUND(C20-K29,2)</f>
        <v>0</v>
      </c>
    </row>
    <row r="31" spans="2:14" ht="32.1" customHeight="1">
      <c r="B31" s="45" t="s">
        <v>80</v>
      </c>
      <c r="C31" s="45"/>
      <c r="D31" s="45"/>
      <c r="E31" s="45"/>
      <c r="F31" s="45"/>
      <c r="G31" s="45"/>
      <c r="H31" s="45"/>
      <c r="I31" s="45"/>
      <c r="J31" s="45"/>
      <c r="K31" s="45"/>
      <c r="L31" s="45"/>
      <c r="M31" s="45"/>
      <c r="N31" s="45"/>
    </row>
    <row r="32" spans="2:14" ht="32.1" customHeight="1">
      <c r="B32" s="45" t="s">
        <v>81</v>
      </c>
      <c r="C32" s="45"/>
      <c r="D32" s="45"/>
      <c r="E32" s="45"/>
      <c r="F32" s="45"/>
      <c r="G32" s="45"/>
      <c r="H32" s="45"/>
      <c r="I32" s="45"/>
      <c r="J32" s="45"/>
      <c r="K32" s="45"/>
      <c r="L32" s="45"/>
      <c r="M32" s="45"/>
      <c r="N32" s="45"/>
    </row>
    <row r="34" spans="2:14" ht="24.95" customHeight="1">
      <c r="B34" s="47" t="s">
        <v>82</v>
      </c>
      <c r="C34" s="47"/>
      <c r="D34" s="47"/>
      <c r="E34" s="47"/>
      <c r="F34" s="47"/>
      <c r="G34" s="47"/>
      <c r="H34" s="47"/>
      <c r="I34" s="47"/>
      <c r="J34" s="47"/>
      <c r="K34" s="47"/>
      <c r="L34" s="47"/>
      <c r="M34" s="47"/>
      <c r="N34" s="47"/>
    </row>
    <row r="35" spans="2:14" ht="42" customHeight="1">
      <c r="B35" s="6" t="s">
        <v>38</v>
      </c>
      <c r="C35" s="7" t="s">
        <v>83</v>
      </c>
      <c r="D35" s="7" t="s">
        <v>84</v>
      </c>
      <c r="E35" s="7" t="s">
        <v>67</v>
      </c>
      <c r="F35" s="7" t="s">
        <v>68</v>
      </c>
      <c r="G35" s="7" t="s">
        <v>69</v>
      </c>
      <c r="H35" s="7" t="s">
        <v>70</v>
      </c>
      <c r="I35" s="8" t="s">
        <v>71</v>
      </c>
    </row>
    <row r="36" spans="2:14" ht="44.1" customHeight="1">
      <c r="B36" s="10" t="s">
        <v>8</v>
      </c>
      <c r="C36" s="10" t="s">
        <v>85</v>
      </c>
      <c r="D36" s="10" t="s">
        <v>86</v>
      </c>
      <c r="E36" s="9" t="s">
        <v>67</v>
      </c>
      <c r="F36" s="9" t="s">
        <v>68</v>
      </c>
      <c r="G36" s="9" t="s">
        <v>69</v>
      </c>
      <c r="H36" s="9" t="s">
        <v>70</v>
      </c>
      <c r="I36" s="9" t="s">
        <v>71</v>
      </c>
      <c r="J36" s="9"/>
      <c r="K36" s="9"/>
      <c r="L36" s="9"/>
      <c r="M36" s="9"/>
      <c r="N36" s="9"/>
    </row>
    <row r="37" spans="2:14" ht="44.1" customHeight="1">
      <c r="B37" s="15" t="s">
        <v>41</v>
      </c>
      <c r="C37" s="15" t="s">
        <v>87</v>
      </c>
      <c r="D37" s="15" t="s">
        <v>88</v>
      </c>
      <c r="E37" s="14" t="s">
        <v>67</v>
      </c>
      <c r="F37" s="14" t="s">
        <v>68</v>
      </c>
      <c r="G37" s="14" t="s">
        <v>69</v>
      </c>
      <c r="H37" s="14" t="s">
        <v>70</v>
      </c>
      <c r="I37" s="14" t="s">
        <v>71</v>
      </c>
      <c r="J37" s="14"/>
      <c r="K37" s="14"/>
      <c r="L37" s="14"/>
      <c r="M37" s="14"/>
      <c r="N37" s="14"/>
    </row>
    <row r="38" spans="2:14" ht="44.1" customHeight="1">
      <c r="B38" s="10" t="s">
        <v>43</v>
      </c>
      <c r="C38" s="10" t="s">
        <v>89</v>
      </c>
      <c r="D38" s="10" t="s">
        <v>86</v>
      </c>
      <c r="E38" s="9" t="s">
        <v>67</v>
      </c>
      <c r="F38" s="9" t="s">
        <v>68</v>
      </c>
      <c r="G38" s="9" t="s">
        <v>69</v>
      </c>
      <c r="H38" s="9" t="s">
        <v>70</v>
      </c>
      <c r="I38" s="9" t="s">
        <v>71</v>
      </c>
      <c r="J38" s="9"/>
      <c r="K38" s="9"/>
      <c r="L38" s="9"/>
      <c r="M38" s="9"/>
      <c r="N38" s="9"/>
    </row>
    <row r="39" spans="2:14" ht="44.1" customHeight="1">
      <c r="B39" s="15" t="s">
        <v>44</v>
      </c>
      <c r="C39" s="15" t="s">
        <v>90</v>
      </c>
      <c r="D39" s="15" t="s">
        <v>86</v>
      </c>
      <c r="E39" s="14" t="s">
        <v>67</v>
      </c>
      <c r="F39" s="14" t="s">
        <v>68</v>
      </c>
      <c r="G39" s="14" t="s">
        <v>69</v>
      </c>
      <c r="H39" s="14" t="s">
        <v>70</v>
      </c>
      <c r="I39" s="14" t="s">
        <v>71</v>
      </c>
      <c r="J39" s="14"/>
      <c r="K39" s="14"/>
      <c r="L39" s="14"/>
      <c r="M39" s="14"/>
      <c r="N39" s="14"/>
    </row>
    <row r="40" spans="2:14" ht="44.1" customHeight="1">
      <c r="B40" s="10" t="s">
        <v>46</v>
      </c>
      <c r="C40" s="10" t="s">
        <v>91</v>
      </c>
      <c r="D40" s="10" t="s">
        <v>86</v>
      </c>
      <c r="E40" s="9" t="s">
        <v>67</v>
      </c>
      <c r="F40" s="9" t="s">
        <v>68</v>
      </c>
      <c r="G40" s="9" t="s">
        <v>69</v>
      </c>
      <c r="H40" s="9" t="s">
        <v>70</v>
      </c>
      <c r="I40" s="9" t="s">
        <v>71</v>
      </c>
      <c r="J40" s="9"/>
      <c r="K40" s="9"/>
      <c r="L40" s="9"/>
      <c r="M40" s="9"/>
      <c r="N40" s="9"/>
    </row>
    <row r="41" spans="2:14" ht="44.1" customHeight="1">
      <c r="B41" s="15" t="s">
        <v>47</v>
      </c>
      <c r="C41" s="15" t="s">
        <v>92</v>
      </c>
      <c r="D41" s="15" t="s">
        <v>86</v>
      </c>
      <c r="E41" s="14" t="s">
        <v>67</v>
      </c>
      <c r="F41" s="14" t="s">
        <v>68</v>
      </c>
      <c r="G41" s="14" t="s">
        <v>69</v>
      </c>
      <c r="H41" s="14" t="s">
        <v>70</v>
      </c>
      <c r="I41" s="14" t="s">
        <v>71</v>
      </c>
      <c r="J41" s="14"/>
      <c r="K41" s="14"/>
      <c r="L41" s="14"/>
      <c r="M41" s="14"/>
      <c r="N41" s="14"/>
    </row>
    <row r="43" spans="2:14" ht="24.95" customHeight="1">
      <c r="B43" s="47" t="s">
        <v>93</v>
      </c>
      <c r="C43" s="47"/>
      <c r="D43" s="47"/>
      <c r="E43" s="47"/>
      <c r="F43" s="47"/>
      <c r="G43" s="47"/>
      <c r="H43" s="47"/>
      <c r="I43" s="47"/>
      <c r="J43" s="47"/>
      <c r="K43" s="47"/>
      <c r="L43" s="47"/>
      <c r="M43" s="47"/>
      <c r="N43" s="47"/>
    </row>
    <row r="44" spans="2:14" ht="42" customHeight="1">
      <c r="B44" s="6" t="s">
        <v>94</v>
      </c>
      <c r="C44" s="7" t="s">
        <v>95</v>
      </c>
      <c r="D44" s="7" t="s">
        <v>64</v>
      </c>
      <c r="E44" s="7" t="s">
        <v>67</v>
      </c>
      <c r="F44" s="7" t="s">
        <v>68</v>
      </c>
      <c r="G44" s="7" t="s">
        <v>69</v>
      </c>
      <c r="H44" s="7" t="s">
        <v>70</v>
      </c>
      <c r="I44" s="7" t="s">
        <v>71</v>
      </c>
      <c r="J44" s="7" t="s">
        <v>96</v>
      </c>
      <c r="K44" s="7" t="s">
        <v>2</v>
      </c>
      <c r="L44" s="8" t="s">
        <v>97</v>
      </c>
    </row>
    <row r="45" spans="2:14" ht="24.95" customHeight="1">
      <c r="B45" s="47" t="s">
        <v>8</v>
      </c>
      <c r="C45" s="47"/>
      <c r="D45" s="47"/>
      <c r="E45" s="47"/>
      <c r="F45" s="47"/>
      <c r="G45" s="47"/>
      <c r="H45" s="47"/>
      <c r="I45" s="47"/>
      <c r="J45" s="47"/>
      <c r="K45" s="47"/>
      <c r="L45" s="47"/>
      <c r="M45" s="47"/>
      <c r="N45" s="47"/>
    </row>
    <row r="46" spans="2:14" ht="38.1" customHeight="1">
      <c r="B46" s="10" t="str">
        <f>Tarifas!B7</f>
        <v>Telemundo</v>
      </c>
      <c r="C46" s="10" t="str">
        <f>Tarifas!C7</f>
        <v>Dia a Dia</v>
      </c>
      <c r="D46" s="36">
        <f>Tarifas!E7</f>
        <v>782</v>
      </c>
      <c r="E46" s="37">
        <f>E23/$D$23</f>
        <v>1.4134988702108111</v>
      </c>
      <c r="F46" s="37">
        <f>F23/$D$23</f>
        <v>1.060123656047476</v>
      </c>
      <c r="G46" s="37">
        <f>G23/$D$23</f>
        <v>1.060123656047476</v>
      </c>
      <c r="H46" s="37">
        <f>H23/$D$23</f>
        <v>1.060123656047476</v>
      </c>
      <c r="I46" s="37">
        <f>I23/$D$23</f>
        <v>1.060123656047476</v>
      </c>
      <c r="J46" s="37">
        <f t="shared" ref="J46:J51" si="3">SUM(E46:I46)</f>
        <v>5.6539934944007149</v>
      </c>
      <c r="K46" s="11">
        <f>ROUND(J46*D46,2)</f>
        <v>4421.42</v>
      </c>
      <c r="L46" s="13">
        <f t="shared" ref="L46:L51" si="4">K46/$C$20</f>
        <v>2.2673948717948717E-2</v>
      </c>
      <c r="M46" s="9"/>
      <c r="N46" s="9"/>
    </row>
    <row r="47" spans="2:14" ht="38.1" customHeight="1">
      <c r="B47" s="15" t="str">
        <f>Tarifas!B8</f>
        <v>Telemundo</v>
      </c>
      <c r="C47" s="15" t="str">
        <f>Tarifas!C8</f>
        <v>PR Gana 6pm (M,W,T,f,Su)</v>
      </c>
      <c r="D47" s="38">
        <f>Tarifas!E8</f>
        <v>2541.5</v>
      </c>
      <c r="E47" s="39">
        <f>E23/$D$23</f>
        <v>1.4134988702108111</v>
      </c>
      <c r="F47" s="39">
        <f>F23/$D$23</f>
        <v>1.060123656047476</v>
      </c>
      <c r="G47" s="39">
        <f>G23/$D$23</f>
        <v>1.060123656047476</v>
      </c>
      <c r="H47" s="39">
        <f>H23/$D$23</f>
        <v>1.060123656047476</v>
      </c>
      <c r="I47" s="39">
        <f>I23/$D$23</f>
        <v>1.060123656047476</v>
      </c>
      <c r="J47" s="39">
        <f t="shared" si="3"/>
        <v>5.6539934944007149</v>
      </c>
      <c r="K47" s="16">
        <f>ROUND(J47*D47,2)</f>
        <v>14369.62</v>
      </c>
      <c r="L47" s="18">
        <f t="shared" si="4"/>
        <v>7.369035897435898E-2</v>
      </c>
      <c r="M47" s="14"/>
      <c r="N47" s="14"/>
    </row>
    <row r="48" spans="2:14" ht="38.1" customHeight="1">
      <c r="B48" s="10" t="str">
        <f>Tarifas!B9</f>
        <v>WAPA</v>
      </c>
      <c r="C48" s="10" t="str">
        <f>Tarifas!C9</f>
        <v>Pegate al MedioDIa</v>
      </c>
      <c r="D48" s="36">
        <f>Tarifas!E9</f>
        <v>977.5</v>
      </c>
      <c r="E48" s="37">
        <f>E23/$D$23</f>
        <v>1.4134988702108111</v>
      </c>
      <c r="F48" s="37">
        <f>F23/$D$23</f>
        <v>1.060123656047476</v>
      </c>
      <c r="G48" s="37">
        <f>G23/$D$23</f>
        <v>1.060123656047476</v>
      </c>
      <c r="H48" s="37">
        <f>H23/$D$23</f>
        <v>1.060123656047476</v>
      </c>
      <c r="I48" s="37">
        <f>I23/$D$23</f>
        <v>1.060123656047476</v>
      </c>
      <c r="J48" s="37">
        <f t="shared" si="3"/>
        <v>5.6539934944007149</v>
      </c>
      <c r="K48" s="11">
        <f>ROUND(J48*D48,2)</f>
        <v>5526.78</v>
      </c>
      <c r="L48" s="13">
        <f t="shared" si="4"/>
        <v>2.8342461538461539E-2</v>
      </c>
      <c r="M48" s="9"/>
      <c r="N48" s="9"/>
    </row>
    <row r="49" spans="2:14" ht="38.1" customHeight="1">
      <c r="B49" s="15" t="str">
        <f>Tarifas!B10</f>
        <v>WAPA</v>
      </c>
      <c r="C49" s="15" t="str">
        <f>Tarifas!C10</f>
        <v>Reality-Funcion Estelar 7p</v>
      </c>
      <c r="D49" s="38">
        <f>Tarifas!E10</f>
        <v>3519</v>
      </c>
      <c r="E49" s="39">
        <f>E23/$D$23</f>
        <v>1.4134988702108111</v>
      </c>
      <c r="F49" s="39">
        <f>F23/$D$23</f>
        <v>1.060123656047476</v>
      </c>
      <c r="G49" s="39">
        <f>G23/$D$23</f>
        <v>1.060123656047476</v>
      </c>
      <c r="H49" s="39">
        <f>H23/$D$23</f>
        <v>1.060123656047476</v>
      </c>
      <c r="I49" s="39">
        <f>I23/$D$23</f>
        <v>1.060123656047476</v>
      </c>
      <c r="J49" s="39">
        <f t="shared" si="3"/>
        <v>5.6539934944007149</v>
      </c>
      <c r="K49" s="16">
        <f>ROUND(J49*D49,2)</f>
        <v>19896.400000000001</v>
      </c>
      <c r="L49" s="18">
        <f t="shared" si="4"/>
        <v>0.10203282051282052</v>
      </c>
      <c r="M49" s="14"/>
      <c r="N49" s="14"/>
    </row>
    <row r="50" spans="2:14" ht="38.1" customHeight="1">
      <c r="B50" s="10" t="str">
        <f>Tarifas!B11</f>
        <v>TeleOnce</v>
      </c>
      <c r="C50" s="10" t="str">
        <f>Tarifas!C11</f>
        <v>PR en Vivo</v>
      </c>
      <c r="D50" s="36">
        <f>Tarifas!E11</f>
        <v>586.5</v>
      </c>
      <c r="E50" s="37">
        <f>E23/$D$23</f>
        <v>1.4134988702108111</v>
      </c>
      <c r="F50" s="37">
        <f>F23/$D$23</f>
        <v>1.060123656047476</v>
      </c>
      <c r="G50" s="37">
        <f>G23/$D$23</f>
        <v>1.060123656047476</v>
      </c>
      <c r="H50" s="37">
        <f>H23/$D$23</f>
        <v>1.060123656047476</v>
      </c>
      <c r="I50" s="37">
        <f>I23/$D$23</f>
        <v>1.060123656047476</v>
      </c>
      <c r="J50" s="37">
        <f t="shared" si="3"/>
        <v>5.6539934944007149</v>
      </c>
      <c r="K50" s="11">
        <f>ROUND(J50*D50,2)</f>
        <v>3316.07</v>
      </c>
      <c r="L50" s="13">
        <f t="shared" si="4"/>
        <v>1.7005487179487182E-2</v>
      </c>
      <c r="M50" s="9"/>
      <c r="N50" s="9"/>
    </row>
    <row r="51" spans="2:14" ht="38.1" customHeight="1">
      <c r="B51" s="15" t="str">
        <f>Tarifas!B12</f>
        <v>TeleOnce</v>
      </c>
      <c r="C51" s="15" t="str">
        <f>Tarifas!C12</f>
        <v>Las Noticias Prime</v>
      </c>
      <c r="D51" s="38">
        <f>Tarifas!E12</f>
        <v>1661.75</v>
      </c>
      <c r="E51" s="39">
        <f>E23/$D$23</f>
        <v>1.4134988702108111</v>
      </c>
      <c r="F51" s="39">
        <f>F23/$D$23</f>
        <v>1.060123656047476</v>
      </c>
      <c r="G51" s="39">
        <f>G23/$D$23</f>
        <v>1.060123656047476</v>
      </c>
      <c r="H51" s="39">
        <f>H23/$D$23</f>
        <v>1.060123656047476</v>
      </c>
      <c r="I51" s="39">
        <f>I23/$D$23</f>
        <v>1.060123656047476</v>
      </c>
      <c r="J51" s="39">
        <f t="shared" si="3"/>
        <v>5.6539934944007149</v>
      </c>
      <c r="K51" s="16">
        <f>ROUND(K23-SUM(K46:K50),2)</f>
        <v>9395.5300000000007</v>
      </c>
      <c r="L51" s="18">
        <f t="shared" si="4"/>
        <v>4.8182205128205133E-2</v>
      </c>
      <c r="M51" s="14"/>
      <c r="N51" s="14"/>
    </row>
    <row r="52" spans="2:14" ht="30" customHeight="1">
      <c r="B52" s="19" t="s">
        <v>98</v>
      </c>
      <c r="C52" s="19"/>
      <c r="D52" s="19"/>
      <c r="E52" s="19"/>
      <c r="F52" s="19"/>
      <c r="G52" s="19"/>
      <c r="H52" s="19"/>
      <c r="I52" s="19"/>
      <c r="J52" s="19"/>
      <c r="K52" s="20">
        <f>SUM(K46:K51)</f>
        <v>56925.82</v>
      </c>
      <c r="L52" s="19"/>
      <c r="M52" s="19"/>
      <c r="N52" s="19"/>
    </row>
    <row r="53" spans="2:14" ht="24.95" customHeight="1">
      <c r="B53" s="47" t="s">
        <v>41</v>
      </c>
      <c r="C53" s="47"/>
      <c r="D53" s="47"/>
      <c r="E53" s="47"/>
      <c r="F53" s="47"/>
      <c r="G53" s="47"/>
      <c r="H53" s="47"/>
      <c r="I53" s="47"/>
      <c r="J53" s="47"/>
      <c r="K53" s="47"/>
      <c r="L53" s="47"/>
      <c r="M53" s="47"/>
      <c r="N53" s="47"/>
    </row>
    <row r="54" spans="2:14" ht="38.1" customHeight="1">
      <c r="B54" s="10" t="str">
        <f>Tarifas!B13</f>
        <v>Unica Radio-1230am</v>
      </c>
      <c r="C54" s="10" t="str">
        <f>Tarifas!C13</f>
        <v>ROS 7 a. m.–5 p. m.</v>
      </c>
      <c r="D54" s="36">
        <f>Tarifas!E13</f>
        <v>36.799999999999997</v>
      </c>
      <c r="E54" s="37">
        <f>E24/$D$24</f>
        <v>6.8057309519514098</v>
      </c>
      <c r="F54" s="37">
        <f>F24/$D$24</f>
        <v>5.1043057309519515</v>
      </c>
      <c r="G54" s="37">
        <f>G24/$D$24</f>
        <v>5.1043057309519515</v>
      </c>
      <c r="H54" s="37">
        <f>H24/$D$24</f>
        <v>5.1043057309519515</v>
      </c>
      <c r="I54" s="37">
        <f>I24/$D$24</f>
        <v>5.1043057309519515</v>
      </c>
      <c r="J54" s="37">
        <f t="shared" ref="J54:J71" si="5">SUM(E54:I54)</f>
        <v>27.22295387575921</v>
      </c>
      <c r="K54" s="11">
        <f t="shared" ref="K54:K70" si="6">ROUND(J54*D54,2)</f>
        <v>1001.8</v>
      </c>
      <c r="L54" s="13">
        <f t="shared" ref="L54:L71" si="7">K54/$C$20</f>
        <v>5.1374358974358974E-3</v>
      </c>
      <c r="M54" s="9"/>
      <c r="N54" s="9"/>
    </row>
    <row r="55" spans="2:14" ht="38.1" customHeight="1">
      <c r="B55" s="15" t="str">
        <f>Tarifas!B14</f>
        <v>Radio Once-1120AM</v>
      </c>
      <c r="C55" s="15" t="str">
        <f>Tarifas!C14</f>
        <v>ROS 7 a. m.–5 p. m.</v>
      </c>
      <c r="D55" s="38">
        <f>Tarifas!E14</f>
        <v>36.799999999999997</v>
      </c>
      <c r="E55" s="39">
        <f>E24/$D$24</f>
        <v>6.8057309519514098</v>
      </c>
      <c r="F55" s="39">
        <f>F24/$D$24</f>
        <v>5.1043057309519515</v>
      </c>
      <c r="G55" s="39">
        <f>G24/$D$24</f>
        <v>5.1043057309519515</v>
      </c>
      <c r="H55" s="39">
        <f>H24/$D$24</f>
        <v>5.1043057309519515</v>
      </c>
      <c r="I55" s="39">
        <f>I24/$D$24</f>
        <v>5.1043057309519515</v>
      </c>
      <c r="J55" s="39">
        <f t="shared" si="5"/>
        <v>27.22295387575921</v>
      </c>
      <c r="K55" s="16">
        <f t="shared" si="6"/>
        <v>1001.8</v>
      </c>
      <c r="L55" s="18">
        <f t="shared" si="7"/>
        <v>5.1374358974358974E-3</v>
      </c>
      <c r="M55" s="14"/>
      <c r="N55" s="14"/>
    </row>
    <row r="56" spans="2:14" ht="38.1" customHeight="1">
      <c r="B56" s="10" t="str">
        <f>Tarifas!B15</f>
        <v>WAPA Radio-Borinquen</v>
      </c>
      <c r="C56" s="10" t="str">
        <f>Tarifas!C15</f>
        <v>ROS 7 a. m.–5 p. m.</v>
      </c>
      <c r="D56" s="36">
        <f>Tarifas!E15</f>
        <v>55.2</v>
      </c>
      <c r="E56" s="37">
        <f>E24/$D$24</f>
        <v>6.8057309519514098</v>
      </c>
      <c r="F56" s="37">
        <f>F24/$D$24</f>
        <v>5.1043057309519515</v>
      </c>
      <c r="G56" s="37">
        <f>G24/$D$24</f>
        <v>5.1043057309519515</v>
      </c>
      <c r="H56" s="37">
        <f>H24/$D$24</f>
        <v>5.1043057309519515</v>
      </c>
      <c r="I56" s="37">
        <f>I24/$D$24</f>
        <v>5.1043057309519515</v>
      </c>
      <c r="J56" s="37">
        <f t="shared" si="5"/>
        <v>27.22295387575921</v>
      </c>
      <c r="K56" s="11">
        <f t="shared" si="6"/>
        <v>1502.71</v>
      </c>
      <c r="L56" s="13">
        <f t="shared" si="7"/>
        <v>7.7062051282051286E-3</v>
      </c>
      <c r="M56" s="9"/>
      <c r="N56" s="9"/>
    </row>
    <row r="57" spans="2:14" ht="38.1" customHeight="1">
      <c r="B57" s="15" t="str">
        <f>Tarifas!B16</f>
        <v>WAEL-FM</v>
      </c>
      <c r="C57" s="15" t="str">
        <f>Tarifas!C16</f>
        <v>ROS 7 a. m.–5 p. m.</v>
      </c>
      <c r="D57" s="38">
        <f>Tarifas!E16</f>
        <v>36.799999999999997</v>
      </c>
      <c r="E57" s="39">
        <f>E24/$D$24</f>
        <v>6.8057309519514098</v>
      </c>
      <c r="F57" s="39">
        <f>F24/$D$24</f>
        <v>5.1043057309519515</v>
      </c>
      <c r="G57" s="39">
        <f>G24/$D$24</f>
        <v>5.1043057309519515</v>
      </c>
      <c r="H57" s="39">
        <f>H24/$D$24</f>
        <v>5.1043057309519515</v>
      </c>
      <c r="I57" s="39">
        <f>I24/$D$24</f>
        <v>5.1043057309519515</v>
      </c>
      <c r="J57" s="39">
        <f t="shared" si="5"/>
        <v>27.22295387575921</v>
      </c>
      <c r="K57" s="16">
        <f t="shared" si="6"/>
        <v>1001.8</v>
      </c>
      <c r="L57" s="18">
        <f t="shared" si="7"/>
        <v>5.1374358974358974E-3</v>
      </c>
      <c r="M57" s="14"/>
      <c r="N57" s="14"/>
    </row>
    <row r="58" spans="2:14" ht="38.1" customHeight="1">
      <c r="B58" s="10" t="str">
        <f>Tarifas!B17</f>
        <v>WABA-AM (Aguadilla)</v>
      </c>
      <c r="C58" s="10" t="str">
        <f>Tarifas!C17</f>
        <v>ROS 7 a. m.–5 p. m.</v>
      </c>
      <c r="D58" s="36">
        <f>Tarifas!E17</f>
        <v>28.52</v>
      </c>
      <c r="E58" s="37">
        <f>E24/$D$24</f>
        <v>6.8057309519514098</v>
      </c>
      <c r="F58" s="37">
        <f>F24/$D$24</f>
        <v>5.1043057309519515</v>
      </c>
      <c r="G58" s="37">
        <f>G24/$D$24</f>
        <v>5.1043057309519515</v>
      </c>
      <c r="H58" s="37">
        <f>H24/$D$24</f>
        <v>5.1043057309519515</v>
      </c>
      <c r="I58" s="37">
        <f>I24/$D$24</f>
        <v>5.1043057309519515</v>
      </c>
      <c r="J58" s="37">
        <f t="shared" si="5"/>
        <v>27.22295387575921</v>
      </c>
      <c r="K58" s="11">
        <f t="shared" si="6"/>
        <v>776.4</v>
      </c>
      <c r="L58" s="13">
        <f t="shared" si="7"/>
        <v>3.9815384615384617E-3</v>
      </c>
      <c r="M58" s="9"/>
      <c r="N58" s="9"/>
    </row>
    <row r="59" spans="2:14" ht="38.1" customHeight="1">
      <c r="B59" s="15" t="str">
        <f>Tarifas!B18</f>
        <v>WHOY-AM (Salinas)</v>
      </c>
      <c r="C59" s="15" t="str">
        <f>Tarifas!C18</f>
        <v>ROS 7 a. m.–5 p. m.</v>
      </c>
      <c r="D59" s="38">
        <f>Tarifas!E18</f>
        <v>28.52</v>
      </c>
      <c r="E59" s="39">
        <f>E24/$D$24</f>
        <v>6.8057309519514098</v>
      </c>
      <c r="F59" s="39">
        <f>F24/$D$24</f>
        <v>5.1043057309519515</v>
      </c>
      <c r="G59" s="39">
        <f>G24/$D$24</f>
        <v>5.1043057309519515</v>
      </c>
      <c r="H59" s="39">
        <f>H24/$D$24</f>
        <v>5.1043057309519515</v>
      </c>
      <c r="I59" s="39">
        <f>I24/$D$24</f>
        <v>5.1043057309519515</v>
      </c>
      <c r="J59" s="39">
        <f t="shared" si="5"/>
        <v>27.22295387575921</v>
      </c>
      <c r="K59" s="16">
        <f t="shared" si="6"/>
        <v>776.4</v>
      </c>
      <c r="L59" s="18">
        <f t="shared" si="7"/>
        <v>3.9815384615384617E-3</v>
      </c>
      <c r="M59" s="14"/>
      <c r="N59" s="14"/>
    </row>
    <row r="60" spans="2:14" ht="38.1" customHeight="1">
      <c r="B60" s="10" t="str">
        <f>Tarifas!B19</f>
        <v>WGDL-AM/FM (Lares/Aguadilla)</v>
      </c>
      <c r="C60" s="10" t="str">
        <f>Tarifas!C19</f>
        <v>ROS 7 a. m.–5 p. m.</v>
      </c>
      <c r="D60" s="36">
        <f>Tarifas!E19</f>
        <v>45.08</v>
      </c>
      <c r="E60" s="37">
        <f>E24/$D$24</f>
        <v>6.8057309519514098</v>
      </c>
      <c r="F60" s="37">
        <f>F24/$D$24</f>
        <v>5.1043057309519515</v>
      </c>
      <c r="G60" s="37">
        <f>G24/$D$24</f>
        <v>5.1043057309519515</v>
      </c>
      <c r="H60" s="37">
        <f>H24/$D$24</f>
        <v>5.1043057309519515</v>
      </c>
      <c r="I60" s="37">
        <f>I24/$D$24</f>
        <v>5.1043057309519515</v>
      </c>
      <c r="J60" s="37">
        <f t="shared" si="5"/>
        <v>27.22295387575921</v>
      </c>
      <c r="K60" s="11">
        <f t="shared" si="6"/>
        <v>1227.21</v>
      </c>
      <c r="L60" s="13">
        <f t="shared" si="7"/>
        <v>6.2933846153846156E-3</v>
      </c>
      <c r="M60" s="9"/>
      <c r="N60" s="9"/>
    </row>
    <row r="61" spans="2:14" ht="38.1" customHeight="1">
      <c r="B61" s="15" t="str">
        <f>Tarifas!B20</f>
        <v>WPRA-AM (Mayaguez)</v>
      </c>
      <c r="C61" s="15" t="str">
        <f>Tarifas!C20</f>
        <v>ROS 7 a. m.–5 p. m.</v>
      </c>
      <c r="D61" s="38">
        <f>Tarifas!E20</f>
        <v>28.52</v>
      </c>
      <c r="E61" s="39">
        <f>E24/$D$24</f>
        <v>6.8057309519514098</v>
      </c>
      <c r="F61" s="39">
        <f>F24/$D$24</f>
        <v>5.1043057309519515</v>
      </c>
      <c r="G61" s="39">
        <f>G24/$D$24</f>
        <v>5.1043057309519515</v>
      </c>
      <c r="H61" s="39">
        <f>H24/$D$24</f>
        <v>5.1043057309519515</v>
      </c>
      <c r="I61" s="39">
        <f>I24/$D$24</f>
        <v>5.1043057309519515</v>
      </c>
      <c r="J61" s="39">
        <f t="shared" si="5"/>
        <v>27.22295387575921</v>
      </c>
      <c r="K61" s="16">
        <f t="shared" si="6"/>
        <v>776.4</v>
      </c>
      <c r="L61" s="18">
        <f t="shared" si="7"/>
        <v>3.9815384615384617E-3</v>
      </c>
      <c r="M61" s="14"/>
      <c r="N61" s="14"/>
    </row>
    <row r="62" spans="2:14" ht="38.1" customHeight="1">
      <c r="B62" s="10" t="str">
        <f>Tarifas!B21</f>
        <v>WISA-AM (Isabela)</v>
      </c>
      <c r="C62" s="10" t="str">
        <f>Tarifas!C21</f>
        <v>ROS 7 a. m.–5 p. m.</v>
      </c>
      <c r="D62" s="36">
        <f>Tarifas!E21</f>
        <v>28.52</v>
      </c>
      <c r="E62" s="37">
        <f>E24/$D$24</f>
        <v>6.8057309519514098</v>
      </c>
      <c r="F62" s="37">
        <f>F24/$D$24</f>
        <v>5.1043057309519515</v>
      </c>
      <c r="G62" s="37">
        <f>G24/$D$24</f>
        <v>5.1043057309519515</v>
      </c>
      <c r="H62" s="37">
        <f>H24/$D$24</f>
        <v>5.1043057309519515</v>
      </c>
      <c r="I62" s="37">
        <f>I24/$D$24</f>
        <v>5.1043057309519515</v>
      </c>
      <c r="J62" s="37">
        <f t="shared" si="5"/>
        <v>27.22295387575921</v>
      </c>
      <c r="K62" s="11">
        <f t="shared" si="6"/>
        <v>776.4</v>
      </c>
      <c r="L62" s="13">
        <f t="shared" si="7"/>
        <v>3.9815384615384617E-3</v>
      </c>
      <c r="M62" s="9"/>
      <c r="N62" s="9"/>
    </row>
    <row r="63" spans="2:14" ht="38.1" customHeight="1">
      <c r="B63" s="15" t="str">
        <f>Tarifas!B22</f>
        <v xml:space="preserve">Auspicios: $1,075,000 pendientes de con con el RFP. No están sumados al escenario de $3,763,000. </v>
      </c>
      <c r="C63" s="15" t="str">
        <f>Tarifas!C22</f>
        <v>ROS 7 a. m.–5 p. m.</v>
      </c>
      <c r="D63" s="38">
        <f>Tarifas!E22</f>
        <v>28.52</v>
      </c>
      <c r="E63" s="39">
        <f>E24/$D$24</f>
        <v>6.8057309519514098</v>
      </c>
      <c r="F63" s="39">
        <f>F24/$D$24</f>
        <v>5.1043057309519515</v>
      </c>
      <c r="G63" s="39">
        <f>G24/$D$24</f>
        <v>5.1043057309519515</v>
      </c>
      <c r="H63" s="39">
        <f>H24/$D$24</f>
        <v>5.1043057309519515</v>
      </c>
      <c r="I63" s="39">
        <f>I24/$D$24</f>
        <v>5.1043057309519515</v>
      </c>
      <c r="J63" s="39">
        <f t="shared" si="5"/>
        <v>27.22295387575921</v>
      </c>
      <c r="K63" s="16">
        <f t="shared" si="6"/>
        <v>776.4</v>
      </c>
      <c r="L63" s="18">
        <f t="shared" si="7"/>
        <v>3.9815384615384617E-3</v>
      </c>
      <c r="M63" s="14"/>
      <c r="N63" s="14"/>
    </row>
    <row r="64" spans="2:14" ht="38.1" customHeight="1">
      <c r="B64" s="10" t="str">
        <f>Tarifas!B23</f>
        <v>WCPR-AM (Coamo)</v>
      </c>
      <c r="C64" s="10" t="str">
        <f>Tarifas!C23</f>
        <v>ROS 7 a. m.–5 p. m.</v>
      </c>
      <c r="D64" s="36">
        <f>Tarifas!E23</f>
        <v>28.52</v>
      </c>
      <c r="E64" s="37">
        <f>E24/$D$24</f>
        <v>6.8057309519514098</v>
      </c>
      <c r="F64" s="37">
        <f>F24/$D$24</f>
        <v>5.1043057309519515</v>
      </c>
      <c r="G64" s="37">
        <f>G24/$D$24</f>
        <v>5.1043057309519515</v>
      </c>
      <c r="H64" s="37">
        <f>H24/$D$24</f>
        <v>5.1043057309519515</v>
      </c>
      <c r="I64" s="37">
        <f>I24/$D$24</f>
        <v>5.1043057309519515</v>
      </c>
      <c r="J64" s="37">
        <f t="shared" si="5"/>
        <v>27.22295387575921</v>
      </c>
      <c r="K64" s="11">
        <f t="shared" si="6"/>
        <v>776.4</v>
      </c>
      <c r="L64" s="13">
        <f t="shared" si="7"/>
        <v>3.9815384615384617E-3</v>
      </c>
      <c r="M64" s="9"/>
      <c r="N64" s="9"/>
    </row>
    <row r="65" spans="2:14" ht="38.1" customHeight="1">
      <c r="B65" s="15" t="str">
        <f>Tarifas!B24</f>
        <v>WLPR-AM (SanSebastian)</v>
      </c>
      <c r="C65" s="15" t="str">
        <f>Tarifas!C24</f>
        <v>ROS 7 a. m.–5 p. m.</v>
      </c>
      <c r="D65" s="38">
        <f>Tarifas!E24</f>
        <v>28.52</v>
      </c>
      <c r="E65" s="39">
        <f>E24/$D$24</f>
        <v>6.8057309519514098</v>
      </c>
      <c r="F65" s="39">
        <f>F24/$D$24</f>
        <v>5.1043057309519515</v>
      </c>
      <c r="G65" s="39">
        <f>G24/$D$24</f>
        <v>5.1043057309519515</v>
      </c>
      <c r="H65" s="39">
        <f>H24/$D$24</f>
        <v>5.1043057309519515</v>
      </c>
      <c r="I65" s="39">
        <f>I24/$D$24</f>
        <v>5.1043057309519515</v>
      </c>
      <c r="J65" s="39">
        <f t="shared" si="5"/>
        <v>27.22295387575921</v>
      </c>
      <c r="K65" s="16">
        <f t="shared" si="6"/>
        <v>776.4</v>
      </c>
      <c r="L65" s="18">
        <f t="shared" si="7"/>
        <v>3.9815384615384617E-3</v>
      </c>
      <c r="M65" s="14"/>
      <c r="N65" s="14"/>
    </row>
    <row r="66" spans="2:14" ht="38.1" customHeight="1">
      <c r="B66" s="10" t="str">
        <f>Tarifas!B25</f>
        <v xml:space="preserve">Entregas estimadas con tarifas de referencia. </v>
      </c>
      <c r="C66" s="10" t="str">
        <f>Tarifas!C25</f>
        <v>ROS 7 a. m.–5 p. m.</v>
      </c>
      <c r="D66" s="36">
        <f>Tarifas!E25</f>
        <v>28.52</v>
      </c>
      <c r="E66" s="37">
        <f>E24/$D$24</f>
        <v>6.8057309519514098</v>
      </c>
      <c r="F66" s="37">
        <f>F24/$D$24</f>
        <v>5.1043057309519515</v>
      </c>
      <c r="G66" s="37">
        <f>G24/$D$24</f>
        <v>5.1043057309519515</v>
      </c>
      <c r="H66" s="37">
        <f>H24/$D$24</f>
        <v>5.1043057309519515</v>
      </c>
      <c r="I66" s="37">
        <f>I24/$D$24</f>
        <v>5.1043057309519515</v>
      </c>
      <c r="J66" s="37">
        <f t="shared" si="5"/>
        <v>27.22295387575921</v>
      </c>
      <c r="K66" s="11">
        <f t="shared" si="6"/>
        <v>776.4</v>
      </c>
      <c r="L66" s="13">
        <f t="shared" si="7"/>
        <v>3.9815384615384617E-3</v>
      </c>
      <c r="M66" s="9"/>
      <c r="N66" s="9"/>
    </row>
    <row r="67" spans="2:14" ht="38.1" customHeight="1">
      <c r="B67" s="15" t="str">
        <f>Tarifas!B26</f>
        <v>WENA-AM (Yauco)</v>
      </c>
      <c r="C67" s="15" t="str">
        <f>Tarifas!C26</f>
        <v>ROS 7 a. m.–5 p. m.</v>
      </c>
      <c r="D67" s="38">
        <f>Tarifas!E26</f>
        <v>28.52</v>
      </c>
      <c r="E67" s="39">
        <f>E24/$D$24</f>
        <v>6.8057309519514098</v>
      </c>
      <c r="F67" s="39">
        <f>F24/$D$24</f>
        <v>5.1043057309519515</v>
      </c>
      <c r="G67" s="39">
        <f>G24/$D$24</f>
        <v>5.1043057309519515</v>
      </c>
      <c r="H67" s="39">
        <f>H24/$D$24</f>
        <v>5.1043057309519515</v>
      </c>
      <c r="I67" s="39">
        <f>I24/$D$24</f>
        <v>5.1043057309519515</v>
      </c>
      <c r="J67" s="39">
        <f t="shared" si="5"/>
        <v>27.22295387575921</v>
      </c>
      <c r="K67" s="16">
        <f t="shared" si="6"/>
        <v>776.4</v>
      </c>
      <c r="L67" s="18">
        <f t="shared" si="7"/>
        <v>3.9815384615384617E-3</v>
      </c>
      <c r="M67" s="14"/>
      <c r="N67" s="14"/>
    </row>
    <row r="68" spans="2:14" ht="38.1" customHeight="1">
      <c r="B68" s="10" t="str">
        <f>Tarifas!B27</f>
        <v>SuperK 106Fm (Arecibo)</v>
      </c>
      <c r="C68" s="10" t="str">
        <f>Tarifas!C27</f>
        <v>ROS 7 a. m.–5 p. m.</v>
      </c>
      <c r="D68" s="36">
        <f>Tarifas!E27</f>
        <v>69</v>
      </c>
      <c r="E68" s="37">
        <f>E24/$D$24</f>
        <v>6.8057309519514098</v>
      </c>
      <c r="F68" s="37">
        <f>F24/$D$24</f>
        <v>5.1043057309519515</v>
      </c>
      <c r="G68" s="37">
        <f>G24/$D$24</f>
        <v>5.1043057309519515</v>
      </c>
      <c r="H68" s="37">
        <f>H24/$D$24</f>
        <v>5.1043057309519515</v>
      </c>
      <c r="I68" s="37">
        <f>I24/$D$24</f>
        <v>5.1043057309519515</v>
      </c>
      <c r="J68" s="37">
        <f t="shared" si="5"/>
        <v>27.22295387575921</v>
      </c>
      <c r="K68" s="11">
        <f t="shared" si="6"/>
        <v>1878.38</v>
      </c>
      <c r="L68" s="13">
        <f t="shared" si="7"/>
        <v>9.6327179487179487E-3</v>
      </c>
      <c r="M68" s="9"/>
      <c r="N68" s="9"/>
    </row>
    <row r="69" spans="2:14" ht="38.1" customHeight="1">
      <c r="B69" s="15" t="str">
        <f>Tarifas!B28</f>
        <v>Radio Grito (Lares)-Hora del Grito 12md</v>
      </c>
      <c r="C69" s="15" t="s">
        <v>99</v>
      </c>
      <c r="D69" s="38">
        <f>Tarifas!E28</f>
        <v>27.6</v>
      </c>
      <c r="E69" s="39">
        <f>E24/$D$24</f>
        <v>6.8057309519514098</v>
      </c>
      <c r="F69" s="39">
        <f>F24/$D$24</f>
        <v>5.1043057309519515</v>
      </c>
      <c r="G69" s="39">
        <f>G24/$D$24</f>
        <v>5.1043057309519515</v>
      </c>
      <c r="H69" s="39">
        <f>H24/$D$24</f>
        <v>5.1043057309519515</v>
      </c>
      <c r="I69" s="39">
        <f>I24/$D$24</f>
        <v>5.1043057309519515</v>
      </c>
      <c r="J69" s="39">
        <f t="shared" si="5"/>
        <v>27.22295387575921</v>
      </c>
      <c r="K69" s="16">
        <f t="shared" si="6"/>
        <v>751.35</v>
      </c>
      <c r="L69" s="18">
        <f t="shared" si="7"/>
        <v>3.853076923076923E-3</v>
      </c>
      <c r="M69" s="14"/>
      <c r="N69" s="14"/>
    </row>
    <row r="70" spans="2:14" ht="38.1" customHeight="1">
      <c r="B70" s="10" t="str">
        <f>Tarifas!B29</f>
        <v>NotiUno (NORTE)-La Hornilla &amp; John Alma-Spots</v>
      </c>
      <c r="C70" s="10" t="s">
        <v>100</v>
      </c>
      <c r="D70" s="36">
        <f>Tarifas!E29</f>
        <v>50.6</v>
      </c>
      <c r="E70" s="37">
        <f>E24/$D$24</f>
        <v>6.8057309519514098</v>
      </c>
      <c r="F70" s="37">
        <f>F24/$D$24</f>
        <v>5.1043057309519515</v>
      </c>
      <c r="G70" s="37">
        <f>G24/$D$24</f>
        <v>5.1043057309519515</v>
      </c>
      <c r="H70" s="37">
        <f>H24/$D$24</f>
        <v>5.1043057309519515</v>
      </c>
      <c r="I70" s="37">
        <f>I24/$D$24</f>
        <v>5.1043057309519515</v>
      </c>
      <c r="J70" s="37">
        <f t="shared" si="5"/>
        <v>27.22295387575921</v>
      </c>
      <c r="K70" s="11">
        <f t="shared" si="6"/>
        <v>1377.48</v>
      </c>
      <c r="L70" s="13">
        <f t="shared" si="7"/>
        <v>7.064E-3</v>
      </c>
      <c r="M70" s="9"/>
      <c r="N70" s="9"/>
    </row>
    <row r="71" spans="2:14" ht="38.1" customHeight="1">
      <c r="B71" s="15" t="str">
        <f>Tarifas!B30</f>
        <v>NotiUno (SUR-Ponce) ROS</v>
      </c>
      <c r="C71" s="15" t="str">
        <f>Tarifas!C30</f>
        <v>ROS 7 a. m.–5 p. m.</v>
      </c>
      <c r="D71" s="38">
        <f>Tarifas!E30</f>
        <v>50.6</v>
      </c>
      <c r="E71" s="39">
        <f>E24/$D$24</f>
        <v>6.8057309519514098</v>
      </c>
      <c r="F71" s="39">
        <f>F24/$D$24</f>
        <v>5.1043057309519515</v>
      </c>
      <c r="G71" s="39">
        <f>G24/$D$24</f>
        <v>5.1043057309519515</v>
      </c>
      <c r="H71" s="39">
        <f>H24/$D$24</f>
        <v>5.1043057309519515</v>
      </c>
      <c r="I71" s="39">
        <f>I24/$D$24</f>
        <v>5.1043057309519515</v>
      </c>
      <c r="J71" s="39">
        <f t="shared" si="5"/>
        <v>27.22295387575921</v>
      </c>
      <c r="K71" s="16">
        <f>ROUND(K24-SUM(K54:K70),2)</f>
        <v>1377.49</v>
      </c>
      <c r="L71" s="18">
        <f t="shared" si="7"/>
        <v>7.0640512820512825E-3</v>
      </c>
      <c r="M71" s="14"/>
      <c r="N71" s="14"/>
    </row>
    <row r="72" spans="2:14" ht="30" customHeight="1">
      <c r="B72" s="19" t="s">
        <v>101</v>
      </c>
      <c r="C72" s="19"/>
      <c r="D72" s="19"/>
      <c r="E72" s="19"/>
      <c r="F72" s="19"/>
      <c r="G72" s="19"/>
      <c r="H72" s="19"/>
      <c r="I72" s="19"/>
      <c r="J72" s="19"/>
      <c r="K72" s="20">
        <f>SUM(K54:K71)</f>
        <v>18107.62</v>
      </c>
      <c r="L72" s="19"/>
      <c r="M72" s="19"/>
      <c r="N72" s="19"/>
    </row>
    <row r="73" spans="2:14" ht="24.95" customHeight="1">
      <c r="B73" s="47" t="s">
        <v>43</v>
      </c>
      <c r="C73" s="47"/>
      <c r="D73" s="47"/>
      <c r="E73" s="47"/>
      <c r="F73" s="47"/>
      <c r="G73" s="47"/>
      <c r="H73" s="47"/>
      <c r="I73" s="47"/>
      <c r="J73" s="47"/>
      <c r="K73" s="47"/>
      <c r="L73" s="47"/>
      <c r="M73" s="47"/>
      <c r="N73" s="47"/>
    </row>
    <row r="74" spans="2:14" ht="38.1" customHeight="1">
      <c r="B74" s="10" t="str">
        <f>Tarifas!B35</f>
        <v>Meta</v>
      </c>
      <c r="C74" s="10" t="str">
        <f>Tarifas!C35</f>
        <v>Video / Reels / Stories</v>
      </c>
      <c r="D74" s="36">
        <f>Tarifas!E35</f>
        <v>8.625</v>
      </c>
      <c r="E74" s="40">
        <f>ROUNDDOWN(E25/$D74*1000,0)</f>
        <v>1502430</v>
      </c>
      <c r="F74" s="40">
        <f>ROUNDDOWN(F25/$D74*1000,0)</f>
        <v>1126822</v>
      </c>
      <c r="G74" s="40">
        <f>ROUNDDOWN(G25/$D74*1000,0)</f>
        <v>1126822</v>
      </c>
      <c r="H74" s="40">
        <f>ROUNDDOWN(H25/$D74*1000,0)</f>
        <v>1126822</v>
      </c>
      <c r="I74" s="40">
        <f>ROUNDDOWN(I25/$D74*1000,0)</f>
        <v>1126822</v>
      </c>
      <c r="J74" s="40">
        <f>SUM(E74:I74)</f>
        <v>6009718</v>
      </c>
      <c r="K74" s="11">
        <f>K25</f>
        <v>51833.819999999992</v>
      </c>
      <c r="L74" s="13">
        <f>K74/$C$20</f>
        <v>0.2658144615384615</v>
      </c>
      <c r="M74" s="9"/>
      <c r="N74" s="9"/>
    </row>
    <row r="75" spans="2:14" ht="30" customHeight="1">
      <c r="B75" s="19" t="s">
        <v>102</v>
      </c>
      <c r="C75" s="19"/>
      <c r="D75" s="19"/>
      <c r="E75" s="19"/>
      <c r="F75" s="19"/>
      <c r="G75" s="19"/>
      <c r="H75" s="19"/>
      <c r="I75" s="19"/>
      <c r="J75" s="19"/>
      <c r="K75" s="20">
        <f>SUM(K74:K74)</f>
        <v>51833.819999999992</v>
      </c>
      <c r="L75" s="19"/>
      <c r="M75" s="19"/>
      <c r="N75" s="19"/>
    </row>
    <row r="76" spans="2:14" ht="24.95" customHeight="1">
      <c r="B76" s="47" t="s">
        <v>44</v>
      </c>
      <c r="C76" s="47"/>
      <c r="D76" s="47"/>
      <c r="E76" s="47"/>
      <c r="F76" s="47"/>
      <c r="G76" s="47"/>
      <c r="H76" s="47"/>
      <c r="I76" s="47"/>
      <c r="J76" s="47"/>
      <c r="K76" s="47"/>
      <c r="L76" s="47"/>
      <c r="M76" s="47"/>
      <c r="N76" s="47"/>
    </row>
    <row r="77" spans="2:14" ht="38.1" customHeight="1">
      <c r="B77" s="10" t="str">
        <f>Tarifas!B36</f>
        <v>YouTube</v>
      </c>
      <c r="C77" s="10" t="str">
        <f>Tarifas!C36</f>
        <v>Video 15–30 s</v>
      </c>
      <c r="D77" s="36">
        <f>Tarifas!E36</f>
        <v>6.9</v>
      </c>
      <c r="E77" s="40">
        <f>ROUNDDOWN(E26/$D77*1000,0)</f>
        <v>1413043</v>
      </c>
      <c r="F77" s="40">
        <f>ROUNDDOWN(F26/$D77*1000,0)</f>
        <v>1059782</v>
      </c>
      <c r="G77" s="40">
        <f>ROUNDDOWN(G26/$D77*1000,0)</f>
        <v>1059782</v>
      </c>
      <c r="H77" s="40">
        <f>ROUNDDOWN(H26/$D77*1000,0)</f>
        <v>1059782</v>
      </c>
      <c r="I77" s="40">
        <f>ROUNDDOWN(I26/$D77*1000,0)</f>
        <v>1059782</v>
      </c>
      <c r="J77" s="40">
        <f>SUM(E77:I77)</f>
        <v>5652171</v>
      </c>
      <c r="K77" s="11">
        <f>K26</f>
        <v>39000</v>
      </c>
      <c r="L77" s="13">
        <f>K77/$C$20</f>
        <v>0.2</v>
      </c>
      <c r="M77" s="9"/>
      <c r="N77" s="9"/>
    </row>
    <row r="78" spans="2:14" ht="30" customHeight="1">
      <c r="B78" s="19" t="s">
        <v>103</v>
      </c>
      <c r="C78" s="19"/>
      <c r="D78" s="19"/>
      <c r="E78" s="19"/>
      <c r="F78" s="19"/>
      <c r="G78" s="19"/>
      <c r="H78" s="19"/>
      <c r="I78" s="19"/>
      <c r="J78" s="19"/>
      <c r="K78" s="20">
        <f>SUM(K77:K77)</f>
        <v>39000</v>
      </c>
      <c r="L78" s="19"/>
      <c r="M78" s="19"/>
      <c r="N78" s="19"/>
    </row>
    <row r="79" spans="2:14" ht="24.95" customHeight="1">
      <c r="B79" s="47" t="s">
        <v>46</v>
      </c>
      <c r="C79" s="47"/>
      <c r="D79" s="47"/>
      <c r="E79" s="47"/>
      <c r="F79" s="47"/>
      <c r="G79" s="47"/>
      <c r="H79" s="47"/>
      <c r="I79" s="47"/>
      <c r="J79" s="47"/>
      <c r="K79" s="47"/>
      <c r="L79" s="47"/>
      <c r="M79" s="47"/>
      <c r="N79" s="47"/>
    </row>
    <row r="80" spans="2:14" ht="38.1" customHeight="1">
      <c r="B80" s="10" t="str">
        <f>Tarifas!B38</f>
        <v>Gaming</v>
      </c>
      <c r="C80" s="10" t="str">
        <f>Tarifas!C38</f>
        <v>Admazing Video Reward</v>
      </c>
      <c r="D80" s="36">
        <f>Tarifas!E38</f>
        <v>0.115</v>
      </c>
      <c r="E80" s="40">
        <f>ROUNDDOWN(E27/$D80*1,0)</f>
        <v>42391</v>
      </c>
      <c r="F80" s="40">
        <f>ROUNDDOWN(F27/$D80*1,0)</f>
        <v>31793</v>
      </c>
      <c r="G80" s="40">
        <f>ROUNDDOWN(G27/$D80*1,0)</f>
        <v>31793</v>
      </c>
      <c r="H80" s="40">
        <f>ROUNDDOWN(H27/$D80*1,0)</f>
        <v>31793</v>
      </c>
      <c r="I80" s="40">
        <f>ROUNDDOWN(I27/$D80*1,0)</f>
        <v>31793</v>
      </c>
      <c r="J80" s="40">
        <f>SUM(E80:I80)</f>
        <v>169563</v>
      </c>
      <c r="K80" s="11">
        <f>K27</f>
        <v>19500</v>
      </c>
      <c r="L80" s="13">
        <f>K80/$C$20</f>
        <v>0.1</v>
      </c>
      <c r="M80" s="9"/>
      <c r="N80" s="9"/>
    </row>
    <row r="81" spans="2:14" ht="30" customHeight="1">
      <c r="B81" s="19" t="s">
        <v>104</v>
      </c>
      <c r="C81" s="19"/>
      <c r="D81" s="19"/>
      <c r="E81" s="19"/>
      <c r="F81" s="19"/>
      <c r="G81" s="19"/>
      <c r="H81" s="19"/>
      <c r="I81" s="19"/>
      <c r="J81" s="19"/>
      <c r="K81" s="20">
        <f>SUM(K80:K80)</f>
        <v>19500</v>
      </c>
      <c r="L81" s="19"/>
      <c r="M81" s="19"/>
      <c r="N81" s="19"/>
    </row>
    <row r="82" spans="2:14" ht="24.95" customHeight="1">
      <c r="B82" s="47" t="s">
        <v>47</v>
      </c>
      <c r="C82" s="47"/>
      <c r="D82" s="47"/>
      <c r="E82" s="47"/>
      <c r="F82" s="47"/>
      <c r="G82" s="47"/>
      <c r="H82" s="47"/>
      <c r="I82" s="47"/>
      <c r="J82" s="47"/>
      <c r="K82" s="47"/>
      <c r="L82" s="47"/>
      <c r="M82" s="47"/>
      <c r="N82" s="47"/>
    </row>
    <row r="83" spans="2:14" ht="38.1" customHeight="1">
      <c r="B83" s="10" t="str">
        <f>Tarifas!B39</f>
        <v>Creadores e integraciones</v>
      </c>
      <c r="C83" s="10" t="str">
        <f>Tarifas!C39</f>
        <v>1 video + 2 Stories</v>
      </c>
      <c r="D83" s="36">
        <f>Tarifas!E39</f>
        <v>2875</v>
      </c>
      <c r="E83" s="37">
        <f>E28/$D$28</f>
        <v>0.83762782608695652</v>
      </c>
      <c r="F83" s="37">
        <f>F28/$D$28</f>
        <v>0.62822260869565216</v>
      </c>
      <c r="G83" s="37">
        <f>G28/$D$28</f>
        <v>0.62822260869565216</v>
      </c>
      <c r="H83" s="37">
        <f>H28/$D$28</f>
        <v>0.62822260869565216</v>
      </c>
      <c r="I83" s="37">
        <f>I28/$D$28</f>
        <v>0.62822260869565216</v>
      </c>
      <c r="J83" s="37">
        <f>SUM(E83:I83)</f>
        <v>3.3505182608695652</v>
      </c>
      <c r="K83" s="11">
        <f>K28</f>
        <v>9632.74</v>
      </c>
      <c r="L83" s="13">
        <f>K83/$C$20</f>
        <v>4.9398666666666667E-2</v>
      </c>
      <c r="M83" s="9"/>
      <c r="N83" s="9"/>
    </row>
    <row r="84" spans="2:14" ht="30" customHeight="1">
      <c r="B84" s="19" t="s">
        <v>105</v>
      </c>
      <c r="C84" s="19"/>
      <c r="D84" s="19"/>
      <c r="E84" s="19"/>
      <c r="F84" s="19"/>
      <c r="G84" s="19"/>
      <c r="H84" s="19"/>
      <c r="I84" s="19"/>
      <c r="J84" s="19"/>
      <c r="K84" s="20">
        <f>SUM(K83:K83)</f>
        <v>9632.74</v>
      </c>
      <c r="L84" s="19"/>
      <c r="M84" s="19"/>
      <c r="N84" s="19"/>
    </row>
    <row r="85" spans="2:14" ht="27.95" customHeight="1">
      <c r="B85" s="45" t="s">
        <v>106</v>
      </c>
      <c r="C85" s="45"/>
      <c r="D85" s="45"/>
      <c r="E85" s="45"/>
      <c r="F85" s="45"/>
      <c r="G85" s="45"/>
      <c r="H85" s="45"/>
      <c r="I85" s="45"/>
      <c r="J85" s="45"/>
      <c r="K85" s="45"/>
      <c r="L85" s="45"/>
      <c r="M85" s="45"/>
      <c r="N85" s="45"/>
    </row>
  </sheetData>
  <mergeCells count="18">
    <mergeCell ref="B2:O2"/>
    <mergeCell ref="B4:O4"/>
    <mergeCell ref="B8:O8"/>
    <mergeCell ref="B16:N16"/>
    <mergeCell ref="B17:N17"/>
    <mergeCell ref="B18:N18"/>
    <mergeCell ref="B19:N19"/>
    <mergeCell ref="B31:N31"/>
    <mergeCell ref="B32:N32"/>
    <mergeCell ref="B34:N34"/>
    <mergeCell ref="B79:N79"/>
    <mergeCell ref="B82:N82"/>
    <mergeCell ref="B85:N85"/>
    <mergeCell ref="B43:N43"/>
    <mergeCell ref="B45:N45"/>
    <mergeCell ref="B53:N53"/>
    <mergeCell ref="B73:N73"/>
    <mergeCell ref="B76:N7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192667"/>
  </sheetPr>
  <dimension ref="A1:O156"/>
  <sheetViews>
    <sheetView showGridLines="0" workbookViewId="0">
      <pane xSplit="2" ySplit="10" topLeftCell="G11" activePane="bottomRight" state="frozen"/>
      <selection pane="bottomRight" activeCell="B24" sqref="B24:N24"/>
      <selection pane="bottomLeft" activeCell="B24" sqref="B24:N24"/>
      <selection pane="topRight" activeCell="B24" sqref="B24:N24"/>
    </sheetView>
  </sheetViews>
  <sheetFormatPr defaultColWidth="8.875" defaultRowHeight="15"/>
  <cols>
    <col min="1" max="1" width="3" style="2" customWidth="1"/>
    <col min="2" max="2" width="32" style="2" customWidth="1"/>
    <col min="3" max="3" width="28" style="2" customWidth="1"/>
    <col min="4" max="4" width="19" style="2" customWidth="1"/>
    <col min="5" max="15" width="16" style="2" customWidth="1"/>
    <col min="16" max="16384" width="8.875" style="2"/>
  </cols>
  <sheetData>
    <row r="1" spans="1:15">
      <c r="A1" s="1"/>
      <c r="B1" s="1"/>
      <c r="C1" s="1"/>
      <c r="D1" s="1"/>
      <c r="E1" s="1"/>
      <c r="F1" s="1"/>
      <c r="G1" s="1"/>
      <c r="H1" s="1"/>
      <c r="I1" s="1"/>
      <c r="J1" s="1"/>
      <c r="K1" s="1"/>
      <c r="L1" s="1"/>
      <c r="M1" s="1"/>
      <c r="N1" s="1"/>
      <c r="O1" s="1"/>
    </row>
    <row r="2" spans="1:15" ht="32.1" customHeight="1">
      <c r="A2" s="1"/>
      <c r="B2" s="46" t="s">
        <v>111</v>
      </c>
      <c r="C2" s="46"/>
      <c r="D2" s="46"/>
      <c r="E2" s="46"/>
      <c r="F2" s="46"/>
      <c r="G2" s="46"/>
      <c r="H2" s="46"/>
      <c r="I2" s="46"/>
      <c r="J2" s="46"/>
      <c r="K2" s="46"/>
      <c r="L2" s="46"/>
      <c r="M2" s="46"/>
      <c r="N2" s="46"/>
      <c r="O2" s="46"/>
    </row>
    <row r="3" spans="1:15" ht="3.95" customHeight="1">
      <c r="A3" s="1"/>
      <c r="B3" s="3"/>
      <c r="C3" s="3"/>
      <c r="D3" s="3"/>
      <c r="E3" s="3"/>
      <c r="F3" s="3"/>
      <c r="G3" s="3"/>
      <c r="H3" s="3"/>
      <c r="I3" s="3"/>
      <c r="J3" s="3"/>
      <c r="K3" s="3"/>
      <c r="L3" s="3"/>
      <c r="M3" s="3"/>
      <c r="N3" s="3"/>
      <c r="O3" s="3"/>
    </row>
    <row r="4" spans="1:15" ht="30" customHeight="1">
      <c r="A4" s="1"/>
      <c r="B4" s="45" t="s">
        <v>1</v>
      </c>
      <c r="C4" s="45"/>
      <c r="D4" s="45"/>
      <c r="E4" s="45"/>
      <c r="F4" s="45"/>
      <c r="G4" s="45"/>
      <c r="H4" s="45"/>
      <c r="I4" s="45"/>
      <c r="J4" s="45"/>
      <c r="K4" s="45"/>
      <c r="L4" s="45"/>
      <c r="M4" s="45"/>
      <c r="N4" s="45"/>
      <c r="O4" s="45"/>
    </row>
    <row r="5" spans="1:15">
      <c r="A5" s="1"/>
      <c r="B5" s="1"/>
      <c r="C5" s="1"/>
      <c r="D5" s="1"/>
      <c r="E5" s="1"/>
      <c r="F5" s="1"/>
      <c r="G5" s="1"/>
      <c r="H5" s="1"/>
      <c r="I5" s="1"/>
      <c r="J5" s="1"/>
      <c r="K5" s="1"/>
      <c r="L5" s="1"/>
      <c r="M5" s="1"/>
      <c r="N5" s="1"/>
      <c r="O5" s="1"/>
    </row>
    <row r="6" spans="1:15" ht="21">
      <c r="A6" s="1"/>
      <c r="B6" s="1" t="s">
        <v>50</v>
      </c>
      <c r="C6" s="32">
        <f>'AGA y criterios'!D11</f>
        <v>330000</v>
      </c>
      <c r="D6" s="1"/>
      <c r="E6" s="1" t="s">
        <v>6</v>
      </c>
      <c r="F6" s="33">
        <f>L13</f>
        <v>330000</v>
      </c>
      <c r="G6" s="1"/>
      <c r="H6" s="1" t="s">
        <v>3</v>
      </c>
      <c r="I6" s="5">
        <f>ROUND(C6-F6,2)</f>
        <v>0</v>
      </c>
      <c r="J6" s="1"/>
      <c r="K6" s="1" t="s">
        <v>51</v>
      </c>
      <c r="L6" s="1"/>
      <c r="M6" s="33">
        <f>'AGA y criterios'!E11</f>
        <v>85000</v>
      </c>
      <c r="N6" s="1"/>
      <c r="O6" s="1"/>
    </row>
    <row r="7" spans="1:15">
      <c r="A7" s="1"/>
      <c r="B7" s="1"/>
      <c r="C7" s="1"/>
      <c r="D7" s="1"/>
      <c r="E7" s="1"/>
      <c r="F7" s="1"/>
      <c r="G7" s="1"/>
      <c r="H7" s="1"/>
      <c r="I7" s="1"/>
      <c r="J7" s="1"/>
      <c r="K7" s="1"/>
      <c r="L7" s="1"/>
      <c r="M7" s="1"/>
      <c r="N7" s="1"/>
      <c r="O7" s="1"/>
    </row>
    <row r="8" spans="1:15" ht="30" customHeight="1">
      <c r="A8" s="1"/>
      <c r="B8" s="45" t="s">
        <v>52</v>
      </c>
      <c r="C8" s="45"/>
      <c r="D8" s="45"/>
      <c r="E8" s="45"/>
      <c r="F8" s="45"/>
      <c r="G8" s="45"/>
      <c r="H8" s="45"/>
      <c r="I8" s="45"/>
      <c r="J8" s="45"/>
      <c r="K8" s="45"/>
      <c r="L8" s="45"/>
      <c r="M8" s="45"/>
      <c r="N8" s="45"/>
      <c r="O8" s="45"/>
    </row>
    <row r="10" spans="1:15" ht="42" customHeight="1">
      <c r="B10" s="6" t="s">
        <v>53</v>
      </c>
      <c r="C10" s="7" t="s">
        <v>54</v>
      </c>
      <c r="D10" s="7" t="s">
        <v>8</v>
      </c>
      <c r="E10" s="7" t="s">
        <v>9</v>
      </c>
      <c r="F10" s="7" t="s">
        <v>10</v>
      </c>
      <c r="G10" s="7" t="s">
        <v>43</v>
      </c>
      <c r="H10" s="7" t="s">
        <v>44</v>
      </c>
      <c r="I10" s="7" t="s">
        <v>45</v>
      </c>
      <c r="J10" s="7" t="s">
        <v>46</v>
      </c>
      <c r="K10" s="7" t="s">
        <v>12</v>
      </c>
      <c r="L10" s="7" t="s">
        <v>55</v>
      </c>
      <c r="M10" s="7" t="s">
        <v>3</v>
      </c>
      <c r="N10" s="8" t="s">
        <v>56</v>
      </c>
    </row>
    <row r="11" spans="1:15" ht="30.95" customHeight="1">
      <c r="B11" s="10" t="s">
        <v>112</v>
      </c>
      <c r="C11" s="11">
        <f>'AGA y criterios'!D28</f>
        <v>260000</v>
      </c>
      <c r="D11" s="11">
        <f>I24</f>
        <v>77306.679999999993</v>
      </c>
      <c r="E11" s="11">
        <f>I25</f>
        <v>37143.810000000005</v>
      </c>
      <c r="F11" s="11">
        <f>I26</f>
        <v>34437</v>
      </c>
      <c r="G11" s="11">
        <f>I27</f>
        <v>72112.479999999996</v>
      </c>
      <c r="H11" s="11">
        <f>I28</f>
        <v>39000.03</v>
      </c>
      <c r="I11" s="11">
        <v>0</v>
      </c>
      <c r="J11" s="11">
        <v>0</v>
      </c>
      <c r="K11" s="11">
        <v>0</v>
      </c>
      <c r="L11" s="11">
        <f>I29</f>
        <v>259999.99999999997</v>
      </c>
      <c r="M11" s="11">
        <f>ROUND(C11-L11,2)</f>
        <v>0</v>
      </c>
      <c r="N11" s="13">
        <f>L11/$C$6</f>
        <v>0.78787878787878785</v>
      </c>
    </row>
    <row r="12" spans="1:15" ht="30.95" customHeight="1">
      <c r="B12" s="15" t="s">
        <v>113</v>
      </c>
      <c r="C12" s="16">
        <f>'AGA y criterios'!D29</f>
        <v>70000</v>
      </c>
      <c r="D12" s="16">
        <f>I96</f>
        <v>20813.349999999999</v>
      </c>
      <c r="E12" s="16">
        <f>I97</f>
        <v>10000.26</v>
      </c>
      <c r="F12" s="16">
        <f>I98</f>
        <v>9271.5</v>
      </c>
      <c r="G12" s="16">
        <f>I99</f>
        <v>19414.89</v>
      </c>
      <c r="H12" s="16">
        <f>I100</f>
        <v>10500</v>
      </c>
      <c r="I12" s="16">
        <v>0</v>
      </c>
      <c r="J12" s="16">
        <v>0</v>
      </c>
      <c r="K12" s="16">
        <v>0</v>
      </c>
      <c r="L12" s="16">
        <f>I101</f>
        <v>70000</v>
      </c>
      <c r="M12" s="16">
        <f>ROUND(C12-L12,2)</f>
        <v>0</v>
      </c>
      <c r="N12" s="18">
        <f>L12/$C$6</f>
        <v>0.21212121212121213</v>
      </c>
    </row>
    <row r="13" spans="1:15" ht="30" customHeight="1">
      <c r="B13" s="34" t="s">
        <v>57</v>
      </c>
      <c r="C13" s="20">
        <f t="shared" ref="C13:N13" si="0">SUM(C11:C12)</f>
        <v>330000</v>
      </c>
      <c r="D13" s="20">
        <f t="shared" si="0"/>
        <v>98120.03</v>
      </c>
      <c r="E13" s="20">
        <f t="shared" si="0"/>
        <v>47144.070000000007</v>
      </c>
      <c r="F13" s="20">
        <f t="shared" si="0"/>
        <v>43708.5</v>
      </c>
      <c r="G13" s="20">
        <f t="shared" si="0"/>
        <v>91527.37</v>
      </c>
      <c r="H13" s="20">
        <f t="shared" si="0"/>
        <v>49500.03</v>
      </c>
      <c r="I13" s="20">
        <f t="shared" si="0"/>
        <v>0</v>
      </c>
      <c r="J13" s="20">
        <f t="shared" si="0"/>
        <v>0</v>
      </c>
      <c r="K13" s="20">
        <f t="shared" si="0"/>
        <v>0</v>
      </c>
      <c r="L13" s="20">
        <f t="shared" si="0"/>
        <v>330000</v>
      </c>
      <c r="M13" s="20">
        <f t="shared" si="0"/>
        <v>0</v>
      </c>
      <c r="N13" s="22">
        <f t="shared" si="0"/>
        <v>1</v>
      </c>
    </row>
    <row r="17" spans="2:14" ht="24.95" customHeight="1">
      <c r="B17" s="47" t="s">
        <v>114</v>
      </c>
      <c r="C17" s="47"/>
      <c r="D17" s="47"/>
      <c r="E17" s="47"/>
      <c r="F17" s="47"/>
      <c r="G17" s="47"/>
      <c r="H17" s="47"/>
      <c r="I17" s="47"/>
      <c r="J17" s="47"/>
      <c r="K17" s="47"/>
      <c r="L17" s="47"/>
      <c r="M17" s="47"/>
      <c r="N17" s="47"/>
    </row>
    <row r="18" spans="2:14" ht="32.1" customHeight="1">
      <c r="B18" s="45" t="s">
        <v>115</v>
      </c>
      <c r="C18" s="45"/>
      <c r="D18" s="45"/>
      <c r="E18" s="45"/>
      <c r="F18" s="45"/>
      <c r="G18" s="45"/>
      <c r="H18" s="45"/>
      <c r="I18" s="45"/>
      <c r="J18" s="45"/>
      <c r="K18" s="45"/>
      <c r="L18" s="45"/>
      <c r="M18" s="45"/>
      <c r="N18" s="45"/>
    </row>
    <row r="19" spans="2:14" ht="32.1" customHeight="1">
      <c r="B19" s="45" t="s">
        <v>116</v>
      </c>
      <c r="C19" s="45"/>
      <c r="D19" s="45"/>
      <c r="E19" s="45"/>
      <c r="F19" s="45"/>
      <c r="G19" s="45"/>
      <c r="H19" s="45"/>
      <c r="I19" s="45"/>
      <c r="J19" s="45"/>
      <c r="K19" s="45"/>
      <c r="L19" s="45"/>
      <c r="M19" s="45"/>
      <c r="N19" s="45"/>
    </row>
    <row r="20" spans="2:14" ht="33.950000000000003" customHeight="1">
      <c r="B20" s="45" t="s">
        <v>117</v>
      </c>
      <c r="C20" s="45"/>
      <c r="D20" s="45"/>
      <c r="E20" s="45"/>
      <c r="F20" s="45"/>
      <c r="G20" s="45"/>
      <c r="H20" s="45"/>
      <c r="I20" s="45"/>
      <c r="J20" s="45"/>
      <c r="K20" s="45"/>
      <c r="L20" s="45"/>
      <c r="M20" s="45"/>
      <c r="N20" s="45"/>
    </row>
    <row r="21" spans="2:14">
      <c r="B21" s="2" t="s">
        <v>61</v>
      </c>
      <c r="C21" s="35">
        <f>'AGA y criterios'!D28</f>
        <v>260000</v>
      </c>
    </row>
    <row r="22" spans="2:14">
      <c r="B22" s="2" t="s">
        <v>34</v>
      </c>
    </row>
    <row r="23" spans="2:14" ht="42" customHeight="1">
      <c r="B23" s="6" t="s">
        <v>38</v>
      </c>
      <c r="C23" s="7" t="s">
        <v>63</v>
      </c>
      <c r="D23" s="7" t="s">
        <v>64</v>
      </c>
      <c r="E23" s="7" t="s">
        <v>118</v>
      </c>
      <c r="F23" s="7" t="s">
        <v>70</v>
      </c>
      <c r="G23" s="7" t="s">
        <v>119</v>
      </c>
      <c r="H23" s="7" t="s">
        <v>72</v>
      </c>
      <c r="I23" s="7" t="s">
        <v>2</v>
      </c>
      <c r="J23" s="8" t="s">
        <v>13</v>
      </c>
    </row>
    <row r="24" spans="2:14" ht="30.95" customHeight="1">
      <c r="B24" s="10" t="s">
        <v>8</v>
      </c>
      <c r="C24" s="10" t="s">
        <v>73</v>
      </c>
      <c r="D24" s="36">
        <f>SUM(Tarifas!E7:E12)</f>
        <v>10068.25</v>
      </c>
      <c r="E24" s="11">
        <f>ROUND($C$21*('Base de distribución'!E50/SUM('Base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24597.58</v>
      </c>
      <c r="F24" s="11">
        <f>ROUND($C$21*('Base de distribución'!E51/SUM('Base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31625.46</v>
      </c>
      <c r="G24" s="11">
        <f>ROUND($C$21*('Base de distribución'!E52/SUM('Base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21083.64</v>
      </c>
      <c r="H24" s="37">
        <f>SUM(H45:H50)</f>
        <v>46.069583095374071</v>
      </c>
      <c r="I24" s="11">
        <f>SUM(E24:G24)</f>
        <v>77306.679999999993</v>
      </c>
      <c r="J24" s="13">
        <f>I24/$C$21</f>
        <v>0.29733338461538461</v>
      </c>
      <c r="K24" s="9"/>
      <c r="L24" s="9"/>
      <c r="M24" s="9"/>
      <c r="N24" s="9"/>
    </row>
    <row r="25" spans="2:14" ht="30.95" customHeight="1">
      <c r="B25" s="15" t="s">
        <v>37</v>
      </c>
      <c r="C25" s="15" t="s">
        <v>74</v>
      </c>
      <c r="D25" s="38">
        <f>SUM(Tarifas!E13:E30)</f>
        <v>665.16</v>
      </c>
      <c r="E25" s="16">
        <f>ROUND($C$21*('Base de distribución'!E53/SUM('Base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11607.44</v>
      </c>
      <c r="F25" s="16">
        <f>ROUND($C$21*('Base de distribución'!E54/SUM('Base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13928.93</v>
      </c>
      <c r="G25" s="16">
        <f>ROUND($C$21*('Base de distribución'!E55/SUM('Base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11607.44</v>
      </c>
      <c r="H25" s="39">
        <f>SUM(H53:H70)</f>
        <v>1005.1545192134226</v>
      </c>
      <c r="I25" s="16">
        <f>SUM(E25:G25)</f>
        <v>37143.810000000005</v>
      </c>
      <c r="J25" s="18">
        <f>I25/$C$21</f>
        <v>0.14286080769230772</v>
      </c>
      <c r="K25" s="14"/>
      <c r="L25" s="14"/>
      <c r="M25" s="14"/>
      <c r="N25" s="14"/>
    </row>
    <row r="26" spans="2:14" ht="30.95" customHeight="1">
      <c r="B26" s="10" t="s">
        <v>42</v>
      </c>
      <c r="C26" s="10" t="s">
        <v>120</v>
      </c>
      <c r="D26" s="36">
        <f>SUM(Tarifas!E31:E34)</f>
        <v>16445</v>
      </c>
      <c r="E26" s="11">
        <f>ROUND($C$21*('Base de distribución'!E56/SUM('Base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11479</v>
      </c>
      <c r="F26" s="11">
        <f>ROUND($C$21*('Base de distribución'!E57/SUM('Base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11479</v>
      </c>
      <c r="G26" s="11">
        <f>ROUND($C$21*('Base de distribución'!E58/SUM('Base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11479</v>
      </c>
      <c r="H26" s="37">
        <f>H73*Tarifas!F31+H74*Tarifas!F32+H75*Tarifas!F33+H76*Tarifas!F34</f>
        <v>58.633992094861654</v>
      </c>
      <c r="I26" s="11">
        <f>SUM(E26:G26)</f>
        <v>34437</v>
      </c>
      <c r="J26" s="13">
        <f>I26/$C$21</f>
        <v>0.13245000000000001</v>
      </c>
      <c r="K26" s="9"/>
      <c r="L26" s="9"/>
      <c r="M26" s="9"/>
      <c r="N26" s="9"/>
    </row>
    <row r="27" spans="2:14" ht="30.95" customHeight="1">
      <c r="B27" s="15" t="s">
        <v>43</v>
      </c>
      <c r="C27" s="15" t="s">
        <v>75</v>
      </c>
      <c r="D27" s="38">
        <f>Tarifas!E35</f>
        <v>8.625</v>
      </c>
      <c r="E27" s="16">
        <f>ROUND($C$21*('Base de distribución'!E59/SUM('Base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18615.97</v>
      </c>
      <c r="F27" s="16">
        <f>ROUND($C$21*('Base de distribución'!E60/SUM('Base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31366.6</v>
      </c>
      <c r="G27" s="16">
        <f>ROUND($C$21*('Base de distribución'!E61/SUM('Base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22129.91</v>
      </c>
      <c r="H27" s="41">
        <f>SUM(H80:H80)</f>
        <v>8360866</v>
      </c>
      <c r="I27" s="16">
        <f>SUM(E27:G27)</f>
        <v>72112.479999999996</v>
      </c>
      <c r="J27" s="18">
        <f>I27/$C$21</f>
        <v>0.2773556923076923</v>
      </c>
      <c r="K27" s="14"/>
      <c r="L27" s="14"/>
      <c r="M27" s="14"/>
      <c r="N27" s="14"/>
    </row>
    <row r="28" spans="2:14" ht="30.95" customHeight="1">
      <c r="B28" s="10" t="s">
        <v>44</v>
      </c>
      <c r="C28" s="10" t="s">
        <v>75</v>
      </c>
      <c r="D28" s="36">
        <f>Tarifas!E36</f>
        <v>6.9</v>
      </c>
      <c r="E28" s="11">
        <f>ROUND($C$21*('Base de distribución'!E62/SUM('Base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11700</v>
      </c>
      <c r="F28" s="11">
        <f>ROUND($C$21*('Base de distribución'!E63/SUM('Base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15600</v>
      </c>
      <c r="G28" s="11">
        <f>ROUND($C$21-SUM(E24:G24,E25:G25,E26:G26,E27:G27,E28:F28),2)</f>
        <v>11700.03</v>
      </c>
      <c r="H28" s="40">
        <f>SUM(H83:H83)</f>
        <v>5652177</v>
      </c>
      <c r="I28" s="11">
        <f>SUM(E28:G28)</f>
        <v>39000.03</v>
      </c>
      <c r="J28" s="13">
        <f>I28/$C$21</f>
        <v>0.15000011538461538</v>
      </c>
      <c r="K28" s="9"/>
      <c r="L28" s="9"/>
      <c r="M28" s="9"/>
      <c r="N28" s="9"/>
    </row>
    <row r="29" spans="2:14" ht="30" customHeight="1">
      <c r="B29" s="19" t="s">
        <v>78</v>
      </c>
      <c r="C29" s="19"/>
      <c r="D29" s="19"/>
      <c r="E29" s="20">
        <f>SUM(E24:E28)</f>
        <v>77999.990000000005</v>
      </c>
      <c r="F29" s="20">
        <f>SUM(F24:F28)</f>
        <v>103999.98999999999</v>
      </c>
      <c r="G29" s="20">
        <f>SUM(G24:G28)</f>
        <v>78000.02</v>
      </c>
      <c r="H29" s="19"/>
      <c r="I29" s="20">
        <f>SUM(I24:I28)</f>
        <v>259999.99999999997</v>
      </c>
      <c r="J29" s="22">
        <f>SUM(J24:J28)</f>
        <v>1</v>
      </c>
      <c r="K29" s="19"/>
      <c r="L29" s="19"/>
      <c r="M29" s="19"/>
      <c r="N29" s="19"/>
    </row>
    <row r="30" spans="2:14">
      <c r="B30" s="2" t="s">
        <v>79</v>
      </c>
      <c r="C30" s="42">
        <f>ROUND(C21-I29,2)</f>
        <v>0</v>
      </c>
    </row>
    <row r="31" spans="2:14" ht="32.1" customHeight="1">
      <c r="B31" s="45" t="s">
        <v>80</v>
      </c>
      <c r="C31" s="45"/>
      <c r="D31" s="45"/>
      <c r="E31" s="45"/>
      <c r="F31" s="45"/>
      <c r="G31" s="45"/>
      <c r="H31" s="45"/>
      <c r="I31" s="45"/>
      <c r="J31" s="45"/>
      <c r="K31" s="45"/>
      <c r="L31" s="45"/>
      <c r="M31" s="45"/>
      <c r="N31" s="45"/>
    </row>
    <row r="32" spans="2:14" ht="32.1" customHeight="1">
      <c r="B32" s="45" t="s">
        <v>81</v>
      </c>
      <c r="C32" s="45"/>
      <c r="D32" s="45"/>
      <c r="E32" s="45"/>
      <c r="F32" s="45"/>
      <c r="G32" s="45"/>
      <c r="H32" s="45"/>
      <c r="I32" s="45"/>
      <c r="J32" s="45"/>
      <c r="K32" s="45"/>
      <c r="L32" s="45"/>
      <c r="M32" s="45"/>
      <c r="N32" s="45"/>
    </row>
    <row r="34" spans="2:14" ht="24.95" customHeight="1">
      <c r="B34" s="47" t="s">
        <v>82</v>
      </c>
      <c r="C34" s="47"/>
      <c r="D34" s="47"/>
      <c r="E34" s="47"/>
      <c r="F34" s="47"/>
      <c r="G34" s="47"/>
      <c r="H34" s="47"/>
      <c r="I34" s="47"/>
      <c r="J34" s="47"/>
      <c r="K34" s="47"/>
      <c r="L34" s="47"/>
      <c r="M34" s="47"/>
      <c r="N34" s="47"/>
    </row>
    <row r="35" spans="2:14" ht="42" customHeight="1">
      <c r="B35" s="6" t="s">
        <v>38</v>
      </c>
      <c r="C35" s="7" t="s">
        <v>83</v>
      </c>
      <c r="D35" s="7" t="s">
        <v>84</v>
      </c>
      <c r="E35" s="7" t="s">
        <v>118</v>
      </c>
      <c r="F35" s="7" t="s">
        <v>70</v>
      </c>
      <c r="G35" s="8" t="s">
        <v>119</v>
      </c>
    </row>
    <row r="36" spans="2:14" ht="44.1" customHeight="1">
      <c r="B36" s="10" t="s">
        <v>8</v>
      </c>
      <c r="C36" s="10" t="s">
        <v>85</v>
      </c>
      <c r="D36" s="10" t="s">
        <v>86</v>
      </c>
      <c r="E36" s="9" t="s">
        <v>118</v>
      </c>
      <c r="F36" s="9" t="s">
        <v>70</v>
      </c>
      <c r="G36" s="9" t="s">
        <v>119</v>
      </c>
      <c r="H36" s="9"/>
      <c r="I36" s="9"/>
      <c r="J36" s="9"/>
      <c r="K36" s="9"/>
      <c r="L36" s="9"/>
      <c r="M36" s="9"/>
      <c r="N36" s="9"/>
    </row>
    <row r="37" spans="2:14" ht="44.1" customHeight="1">
      <c r="B37" s="15" t="s">
        <v>41</v>
      </c>
      <c r="C37" s="15" t="s">
        <v>87</v>
      </c>
      <c r="D37" s="15" t="s">
        <v>88</v>
      </c>
      <c r="E37" s="14" t="s">
        <v>118</v>
      </c>
      <c r="F37" s="14" t="s">
        <v>70</v>
      </c>
      <c r="G37" s="14" t="s">
        <v>119</v>
      </c>
      <c r="H37" s="14"/>
      <c r="I37" s="14"/>
      <c r="J37" s="14"/>
      <c r="K37" s="14"/>
      <c r="L37" s="14"/>
      <c r="M37" s="14"/>
      <c r="N37" s="14"/>
    </row>
    <row r="38" spans="2:14" ht="44.1" customHeight="1">
      <c r="B38" s="10" t="s">
        <v>42</v>
      </c>
      <c r="C38" s="10" t="s">
        <v>121</v>
      </c>
      <c r="D38" s="10" t="s">
        <v>88</v>
      </c>
      <c r="E38" s="9" t="s">
        <v>118</v>
      </c>
      <c r="F38" s="9" t="s">
        <v>70</v>
      </c>
      <c r="G38" s="9" t="s">
        <v>119</v>
      </c>
      <c r="H38" s="9"/>
      <c r="I38" s="9"/>
      <c r="J38" s="9"/>
      <c r="K38" s="9"/>
      <c r="L38" s="9"/>
      <c r="M38" s="9"/>
      <c r="N38" s="9"/>
    </row>
    <row r="39" spans="2:14" ht="44.1" customHeight="1">
      <c r="B39" s="15" t="s">
        <v>43</v>
      </c>
      <c r="C39" s="15" t="s">
        <v>89</v>
      </c>
      <c r="D39" s="15" t="s">
        <v>86</v>
      </c>
      <c r="E39" s="14" t="s">
        <v>118</v>
      </c>
      <c r="F39" s="14" t="s">
        <v>70</v>
      </c>
      <c r="G39" s="14" t="s">
        <v>119</v>
      </c>
      <c r="H39" s="14"/>
      <c r="I39" s="14"/>
      <c r="J39" s="14"/>
      <c r="K39" s="14"/>
      <c r="L39" s="14"/>
      <c r="M39" s="14"/>
      <c r="N39" s="14"/>
    </row>
    <row r="40" spans="2:14" ht="44.1" customHeight="1">
      <c r="B40" s="10" t="s">
        <v>44</v>
      </c>
      <c r="C40" s="10" t="s">
        <v>90</v>
      </c>
      <c r="D40" s="10" t="s">
        <v>86</v>
      </c>
      <c r="E40" s="9" t="s">
        <v>118</v>
      </c>
      <c r="F40" s="9" t="s">
        <v>70</v>
      </c>
      <c r="G40" s="9" t="s">
        <v>119</v>
      </c>
      <c r="H40" s="9"/>
      <c r="I40" s="9"/>
      <c r="J40" s="9"/>
      <c r="K40" s="9"/>
      <c r="L40" s="9"/>
      <c r="M40" s="9"/>
      <c r="N40" s="9"/>
    </row>
    <row r="42" spans="2:14" ht="24.95" customHeight="1">
      <c r="B42" s="47" t="s">
        <v>93</v>
      </c>
      <c r="C42" s="47"/>
      <c r="D42" s="47"/>
      <c r="E42" s="47"/>
      <c r="F42" s="47"/>
      <c r="G42" s="47"/>
      <c r="H42" s="47"/>
      <c r="I42" s="47"/>
      <c r="J42" s="47"/>
      <c r="K42" s="47"/>
      <c r="L42" s="47"/>
      <c r="M42" s="47"/>
      <c r="N42" s="47"/>
    </row>
    <row r="43" spans="2:14" ht="42" customHeight="1">
      <c r="B43" s="6" t="s">
        <v>94</v>
      </c>
      <c r="C43" s="7" t="s">
        <v>95</v>
      </c>
      <c r="D43" s="7" t="s">
        <v>64</v>
      </c>
      <c r="E43" s="7" t="s">
        <v>118</v>
      </c>
      <c r="F43" s="7" t="s">
        <v>70</v>
      </c>
      <c r="G43" s="7" t="s">
        <v>119</v>
      </c>
      <c r="H43" s="7" t="s">
        <v>96</v>
      </c>
      <c r="I43" s="7" t="s">
        <v>2</v>
      </c>
      <c r="J43" s="8" t="s">
        <v>97</v>
      </c>
    </row>
    <row r="44" spans="2:14" ht="24.95" customHeight="1">
      <c r="B44" s="47" t="s">
        <v>8</v>
      </c>
      <c r="C44" s="47"/>
      <c r="D44" s="47"/>
      <c r="E44" s="47"/>
      <c r="F44" s="47"/>
      <c r="G44" s="47"/>
      <c r="H44" s="47"/>
      <c r="I44" s="47"/>
      <c r="J44" s="47"/>
      <c r="K44" s="47"/>
      <c r="L44" s="47"/>
      <c r="M44" s="47"/>
      <c r="N44" s="47"/>
    </row>
    <row r="45" spans="2:14" ht="38.1" customHeight="1">
      <c r="B45" s="10" t="str">
        <f>Tarifas!B7</f>
        <v>Telemundo</v>
      </c>
      <c r="C45" s="10" t="str">
        <f>Tarifas!C7</f>
        <v>Dia a Dia</v>
      </c>
      <c r="D45" s="36">
        <f>Tarifas!E7</f>
        <v>782</v>
      </c>
      <c r="E45" s="37">
        <f>E24/$D$24</f>
        <v>2.443083952027413</v>
      </c>
      <c r="F45" s="37">
        <f>F24/$D$24</f>
        <v>3.1411079383209595</v>
      </c>
      <c r="G45" s="37">
        <f>G24/$D$24</f>
        <v>2.0940719588806398</v>
      </c>
      <c r="H45" s="37">
        <f t="shared" ref="H45:H50" si="1">SUM(E45:G45)</f>
        <v>7.6782638492290118</v>
      </c>
      <c r="I45" s="11">
        <f>ROUND(H45*D45,2)</f>
        <v>6004.4</v>
      </c>
      <c r="J45" s="13">
        <f t="shared" ref="J45:J50" si="2">I45/$C$21</f>
        <v>2.3093846153846152E-2</v>
      </c>
      <c r="K45" s="9"/>
      <c r="L45" s="9"/>
      <c r="M45" s="9"/>
      <c r="N45" s="9"/>
    </row>
    <row r="46" spans="2:14" ht="38.1" customHeight="1">
      <c r="B46" s="15" t="str">
        <f>Tarifas!B8</f>
        <v>Telemundo</v>
      </c>
      <c r="C46" s="15" t="str">
        <f>Tarifas!C8</f>
        <v>PR Gana 6pm (M,W,T,f,Su)</v>
      </c>
      <c r="D46" s="38">
        <f>Tarifas!E8</f>
        <v>2541.5</v>
      </c>
      <c r="E46" s="39">
        <f>E24/$D$24</f>
        <v>2.443083952027413</v>
      </c>
      <c r="F46" s="39">
        <f>F24/$D$24</f>
        <v>3.1411079383209595</v>
      </c>
      <c r="G46" s="39">
        <f>G24/$D$24</f>
        <v>2.0940719588806398</v>
      </c>
      <c r="H46" s="39">
        <f t="shared" si="1"/>
        <v>7.6782638492290118</v>
      </c>
      <c r="I46" s="16">
        <f>ROUND(H46*D46,2)</f>
        <v>19514.310000000001</v>
      </c>
      <c r="J46" s="18">
        <f t="shared" si="2"/>
        <v>7.5055038461538465E-2</v>
      </c>
      <c r="K46" s="14"/>
      <c r="L46" s="14"/>
      <c r="M46" s="14"/>
      <c r="N46" s="14"/>
    </row>
    <row r="47" spans="2:14" ht="38.1" customHeight="1">
      <c r="B47" s="10" t="str">
        <f>Tarifas!B9</f>
        <v>WAPA</v>
      </c>
      <c r="C47" s="10" t="str">
        <f>Tarifas!C9</f>
        <v>Pegate al MedioDIa</v>
      </c>
      <c r="D47" s="36">
        <f>Tarifas!E9</f>
        <v>977.5</v>
      </c>
      <c r="E47" s="37">
        <f>E24/$D$24</f>
        <v>2.443083952027413</v>
      </c>
      <c r="F47" s="37">
        <f>F24/$D$24</f>
        <v>3.1411079383209595</v>
      </c>
      <c r="G47" s="37">
        <f>G24/$D$24</f>
        <v>2.0940719588806398</v>
      </c>
      <c r="H47" s="37">
        <f t="shared" si="1"/>
        <v>7.6782638492290118</v>
      </c>
      <c r="I47" s="11">
        <f>ROUND(H47*D47,2)</f>
        <v>7505.5</v>
      </c>
      <c r="J47" s="13">
        <f t="shared" si="2"/>
        <v>2.8867307692307692E-2</v>
      </c>
      <c r="K47" s="9"/>
      <c r="L47" s="9"/>
      <c r="M47" s="9"/>
      <c r="N47" s="9"/>
    </row>
    <row r="48" spans="2:14" ht="38.1" customHeight="1">
      <c r="B48" s="15" t="str">
        <f>Tarifas!B10</f>
        <v>WAPA</v>
      </c>
      <c r="C48" s="15" t="str">
        <f>Tarifas!C10</f>
        <v>Reality-Funcion Estelar 7p</v>
      </c>
      <c r="D48" s="38">
        <f>Tarifas!E10</f>
        <v>3519</v>
      </c>
      <c r="E48" s="39">
        <f>E24/$D$24</f>
        <v>2.443083952027413</v>
      </c>
      <c r="F48" s="39">
        <f>F24/$D$24</f>
        <v>3.1411079383209595</v>
      </c>
      <c r="G48" s="39">
        <f>G24/$D$24</f>
        <v>2.0940719588806398</v>
      </c>
      <c r="H48" s="39">
        <f t="shared" si="1"/>
        <v>7.6782638492290118</v>
      </c>
      <c r="I48" s="16">
        <f>ROUND(H48*D48,2)</f>
        <v>27019.81</v>
      </c>
      <c r="J48" s="18">
        <f t="shared" si="2"/>
        <v>0.10392234615384616</v>
      </c>
      <c r="K48" s="14"/>
      <c r="L48" s="14"/>
      <c r="M48" s="14"/>
      <c r="N48" s="14"/>
    </row>
    <row r="49" spans="2:14" ht="38.1" customHeight="1">
      <c r="B49" s="10" t="str">
        <f>Tarifas!B11</f>
        <v>TeleOnce</v>
      </c>
      <c r="C49" s="10" t="str">
        <f>Tarifas!C11</f>
        <v>PR en Vivo</v>
      </c>
      <c r="D49" s="36">
        <f>Tarifas!E11</f>
        <v>586.5</v>
      </c>
      <c r="E49" s="37">
        <f>E24/$D$24</f>
        <v>2.443083952027413</v>
      </c>
      <c r="F49" s="37">
        <f>F24/$D$24</f>
        <v>3.1411079383209595</v>
      </c>
      <c r="G49" s="37">
        <f>G24/$D$24</f>
        <v>2.0940719588806398</v>
      </c>
      <c r="H49" s="37">
        <f t="shared" si="1"/>
        <v>7.6782638492290118</v>
      </c>
      <c r="I49" s="11">
        <f>ROUND(H49*D49,2)</f>
        <v>4503.3</v>
      </c>
      <c r="J49" s="13">
        <f t="shared" si="2"/>
        <v>1.7320384615384616E-2</v>
      </c>
      <c r="K49" s="9"/>
      <c r="L49" s="9"/>
      <c r="M49" s="9"/>
      <c r="N49" s="9"/>
    </row>
    <row r="50" spans="2:14" ht="38.1" customHeight="1">
      <c r="B50" s="15" t="str">
        <f>Tarifas!B12</f>
        <v>TeleOnce</v>
      </c>
      <c r="C50" s="15" t="str">
        <f>Tarifas!C12</f>
        <v>Las Noticias Prime</v>
      </c>
      <c r="D50" s="38">
        <f>Tarifas!E12</f>
        <v>1661.75</v>
      </c>
      <c r="E50" s="39">
        <f>E24/$D$24</f>
        <v>2.443083952027413</v>
      </c>
      <c r="F50" s="39">
        <f>F24/$D$24</f>
        <v>3.1411079383209595</v>
      </c>
      <c r="G50" s="39">
        <f>G24/$D$24</f>
        <v>2.0940719588806398</v>
      </c>
      <c r="H50" s="39">
        <f t="shared" si="1"/>
        <v>7.6782638492290118</v>
      </c>
      <c r="I50" s="16">
        <f>ROUND(I24-SUM(I45:I49),2)</f>
        <v>12759.36</v>
      </c>
      <c r="J50" s="18">
        <f t="shared" si="2"/>
        <v>4.9074461538461539E-2</v>
      </c>
      <c r="K50" s="14"/>
      <c r="L50" s="14"/>
      <c r="M50" s="14"/>
      <c r="N50" s="14"/>
    </row>
    <row r="51" spans="2:14" ht="30" customHeight="1">
      <c r="B51" s="19" t="s">
        <v>98</v>
      </c>
      <c r="C51" s="19"/>
      <c r="D51" s="19"/>
      <c r="E51" s="19"/>
      <c r="F51" s="19"/>
      <c r="G51" s="19"/>
      <c r="H51" s="19"/>
      <c r="I51" s="20">
        <f>SUM(I45:I50)</f>
        <v>77306.680000000008</v>
      </c>
      <c r="J51" s="19"/>
      <c r="K51" s="19"/>
      <c r="L51" s="19"/>
      <c r="M51" s="19"/>
      <c r="N51" s="19"/>
    </row>
    <row r="52" spans="2:14" ht="24.95" customHeight="1">
      <c r="B52" s="47" t="s">
        <v>41</v>
      </c>
      <c r="C52" s="47"/>
      <c r="D52" s="47"/>
      <c r="E52" s="47"/>
      <c r="F52" s="47"/>
      <c r="G52" s="47"/>
      <c r="H52" s="47"/>
      <c r="I52" s="47"/>
      <c r="J52" s="47"/>
      <c r="K52" s="47"/>
      <c r="L52" s="47"/>
      <c r="M52" s="47"/>
      <c r="N52" s="47"/>
    </row>
    <row r="53" spans="2:14" ht="38.1" customHeight="1">
      <c r="B53" s="10" t="str">
        <f>Tarifas!B13</f>
        <v>Unica Radio-1230am</v>
      </c>
      <c r="C53" s="10" t="str">
        <f>Tarifas!C13</f>
        <v>ROS 7 a. m.–5 p. m.</v>
      </c>
      <c r="D53" s="36">
        <f>Tarifas!E13</f>
        <v>36.799999999999997</v>
      </c>
      <c r="E53" s="37">
        <f>E25/$D$25</f>
        <v>17.450598352276145</v>
      </c>
      <c r="F53" s="37">
        <f>F25/$D$25</f>
        <v>20.940721029526731</v>
      </c>
      <c r="G53" s="37">
        <f>G25/$D$25</f>
        <v>17.450598352276145</v>
      </c>
      <c r="H53" s="37">
        <f t="shared" ref="H53:H70" si="3">SUM(E53:G53)</f>
        <v>55.841917734079018</v>
      </c>
      <c r="I53" s="11">
        <f t="shared" ref="I53:I69" si="4">ROUND(H53*D53,2)</f>
        <v>2054.98</v>
      </c>
      <c r="J53" s="13">
        <f t="shared" ref="J53:J70" si="5">I53/$C$21</f>
        <v>7.9037692307692316E-3</v>
      </c>
      <c r="K53" s="9"/>
      <c r="L53" s="9"/>
      <c r="M53" s="9"/>
      <c r="N53" s="9"/>
    </row>
    <row r="54" spans="2:14" ht="38.1" customHeight="1">
      <c r="B54" s="15" t="str">
        <f>Tarifas!B14</f>
        <v>Radio Once-1120AM</v>
      </c>
      <c r="C54" s="15" t="str">
        <f>Tarifas!C14</f>
        <v>ROS 7 a. m.–5 p. m.</v>
      </c>
      <c r="D54" s="38">
        <f>Tarifas!E14</f>
        <v>36.799999999999997</v>
      </c>
      <c r="E54" s="39">
        <f>E25/$D$25</f>
        <v>17.450598352276145</v>
      </c>
      <c r="F54" s="39">
        <f>F25/$D$25</f>
        <v>20.940721029526731</v>
      </c>
      <c r="G54" s="39">
        <f>G25/$D$25</f>
        <v>17.450598352276145</v>
      </c>
      <c r="H54" s="39">
        <f t="shared" si="3"/>
        <v>55.841917734079018</v>
      </c>
      <c r="I54" s="16">
        <f t="shared" si="4"/>
        <v>2054.98</v>
      </c>
      <c r="J54" s="18">
        <f t="shared" si="5"/>
        <v>7.9037692307692316E-3</v>
      </c>
      <c r="K54" s="14"/>
      <c r="L54" s="14"/>
      <c r="M54" s="14"/>
      <c r="N54" s="14"/>
    </row>
    <row r="55" spans="2:14" ht="38.1" customHeight="1">
      <c r="B55" s="10" t="str">
        <f>Tarifas!B15</f>
        <v>WAPA Radio-Borinquen</v>
      </c>
      <c r="C55" s="10" t="str">
        <f>Tarifas!C15</f>
        <v>ROS 7 a. m.–5 p. m.</v>
      </c>
      <c r="D55" s="36">
        <f>Tarifas!E15</f>
        <v>55.2</v>
      </c>
      <c r="E55" s="37">
        <f>E25/$D$25</f>
        <v>17.450598352276145</v>
      </c>
      <c r="F55" s="37">
        <f>F25/$D$25</f>
        <v>20.940721029526731</v>
      </c>
      <c r="G55" s="37">
        <f>G25/$D$25</f>
        <v>17.450598352276145</v>
      </c>
      <c r="H55" s="37">
        <f t="shared" si="3"/>
        <v>55.841917734079018</v>
      </c>
      <c r="I55" s="11">
        <f t="shared" si="4"/>
        <v>3082.47</v>
      </c>
      <c r="J55" s="13">
        <f t="shared" si="5"/>
        <v>1.1855653846153846E-2</v>
      </c>
      <c r="K55" s="9"/>
      <c r="L55" s="9"/>
      <c r="M55" s="9"/>
      <c r="N55" s="9"/>
    </row>
    <row r="56" spans="2:14" ht="38.1" customHeight="1">
      <c r="B56" s="15" t="str">
        <f>Tarifas!B16</f>
        <v>WAEL-FM</v>
      </c>
      <c r="C56" s="15" t="str">
        <f>Tarifas!C16</f>
        <v>ROS 7 a. m.–5 p. m.</v>
      </c>
      <c r="D56" s="38">
        <f>Tarifas!E16</f>
        <v>36.799999999999997</v>
      </c>
      <c r="E56" s="39">
        <f>E25/$D$25</f>
        <v>17.450598352276145</v>
      </c>
      <c r="F56" s="39">
        <f>F25/$D$25</f>
        <v>20.940721029526731</v>
      </c>
      <c r="G56" s="39">
        <f>G25/$D$25</f>
        <v>17.450598352276145</v>
      </c>
      <c r="H56" s="39">
        <f t="shared" si="3"/>
        <v>55.841917734079018</v>
      </c>
      <c r="I56" s="16">
        <f t="shared" si="4"/>
        <v>2054.98</v>
      </c>
      <c r="J56" s="18">
        <f t="shared" si="5"/>
        <v>7.9037692307692316E-3</v>
      </c>
      <c r="K56" s="14"/>
      <c r="L56" s="14"/>
      <c r="M56" s="14"/>
      <c r="N56" s="14"/>
    </row>
    <row r="57" spans="2:14" ht="38.1" customHeight="1">
      <c r="B57" s="10" t="str">
        <f>Tarifas!B17</f>
        <v>WABA-AM (Aguadilla)</v>
      </c>
      <c r="C57" s="10" t="str">
        <f>Tarifas!C17</f>
        <v>ROS 7 a. m.–5 p. m.</v>
      </c>
      <c r="D57" s="36">
        <f>Tarifas!E17</f>
        <v>28.52</v>
      </c>
      <c r="E57" s="37">
        <f>E25/$D$25</f>
        <v>17.450598352276145</v>
      </c>
      <c r="F57" s="37">
        <f>F25/$D$25</f>
        <v>20.940721029526731</v>
      </c>
      <c r="G57" s="37">
        <f>G25/$D$25</f>
        <v>17.450598352276145</v>
      </c>
      <c r="H57" s="37">
        <f t="shared" si="3"/>
        <v>55.841917734079018</v>
      </c>
      <c r="I57" s="11">
        <f t="shared" si="4"/>
        <v>1592.61</v>
      </c>
      <c r="J57" s="13">
        <f t="shared" si="5"/>
        <v>6.1254230769230769E-3</v>
      </c>
      <c r="K57" s="9"/>
      <c r="L57" s="9"/>
      <c r="M57" s="9"/>
      <c r="N57" s="9"/>
    </row>
    <row r="58" spans="2:14" ht="38.1" customHeight="1">
      <c r="B58" s="15" t="str">
        <f>Tarifas!B18</f>
        <v>WHOY-AM (Salinas)</v>
      </c>
      <c r="C58" s="15" t="str">
        <f>Tarifas!C18</f>
        <v>ROS 7 a. m.–5 p. m.</v>
      </c>
      <c r="D58" s="38">
        <f>Tarifas!E18</f>
        <v>28.52</v>
      </c>
      <c r="E58" s="39">
        <f>E25/$D$25</f>
        <v>17.450598352276145</v>
      </c>
      <c r="F58" s="39">
        <f>F25/$D$25</f>
        <v>20.940721029526731</v>
      </c>
      <c r="G58" s="39">
        <f>G25/$D$25</f>
        <v>17.450598352276145</v>
      </c>
      <c r="H58" s="39">
        <f t="shared" si="3"/>
        <v>55.841917734079018</v>
      </c>
      <c r="I58" s="16">
        <f t="shared" si="4"/>
        <v>1592.61</v>
      </c>
      <c r="J58" s="18">
        <f t="shared" si="5"/>
        <v>6.1254230769230769E-3</v>
      </c>
      <c r="K58" s="14"/>
      <c r="L58" s="14"/>
      <c r="M58" s="14"/>
      <c r="N58" s="14"/>
    </row>
    <row r="59" spans="2:14" ht="38.1" customHeight="1">
      <c r="B59" s="10" t="str">
        <f>Tarifas!B19</f>
        <v>WGDL-AM/FM (Lares/Aguadilla)</v>
      </c>
      <c r="C59" s="10" t="str">
        <f>Tarifas!C19</f>
        <v>ROS 7 a. m.–5 p. m.</v>
      </c>
      <c r="D59" s="36">
        <f>Tarifas!E19</f>
        <v>45.08</v>
      </c>
      <c r="E59" s="37">
        <f>E25/$D$25</f>
        <v>17.450598352276145</v>
      </c>
      <c r="F59" s="37">
        <f>F25/$D$25</f>
        <v>20.940721029526731</v>
      </c>
      <c r="G59" s="37">
        <f>G25/$D$25</f>
        <v>17.450598352276145</v>
      </c>
      <c r="H59" s="37">
        <f t="shared" si="3"/>
        <v>55.841917734079018</v>
      </c>
      <c r="I59" s="11">
        <f t="shared" si="4"/>
        <v>2517.35</v>
      </c>
      <c r="J59" s="13">
        <f t="shared" si="5"/>
        <v>9.6821153846153845E-3</v>
      </c>
      <c r="K59" s="9"/>
      <c r="L59" s="9"/>
      <c r="M59" s="9"/>
      <c r="N59" s="9"/>
    </row>
    <row r="60" spans="2:14" ht="38.1" customHeight="1">
      <c r="B60" s="15" t="str">
        <f>Tarifas!B20</f>
        <v>WPRA-AM (Mayaguez)</v>
      </c>
      <c r="C60" s="15" t="str">
        <f>Tarifas!C20</f>
        <v>ROS 7 a. m.–5 p. m.</v>
      </c>
      <c r="D60" s="38">
        <f>Tarifas!E20</f>
        <v>28.52</v>
      </c>
      <c r="E60" s="39">
        <f>E25/$D$25</f>
        <v>17.450598352276145</v>
      </c>
      <c r="F60" s="39">
        <f>F25/$D$25</f>
        <v>20.940721029526731</v>
      </c>
      <c r="G60" s="39">
        <f>G25/$D$25</f>
        <v>17.450598352276145</v>
      </c>
      <c r="H60" s="39">
        <f t="shared" si="3"/>
        <v>55.841917734079018</v>
      </c>
      <c r="I60" s="16">
        <f t="shared" si="4"/>
        <v>1592.61</v>
      </c>
      <c r="J60" s="18">
        <f t="shared" si="5"/>
        <v>6.1254230769230769E-3</v>
      </c>
      <c r="K60" s="14"/>
      <c r="L60" s="14"/>
      <c r="M60" s="14"/>
      <c r="N60" s="14"/>
    </row>
    <row r="61" spans="2:14" ht="38.1" customHeight="1">
      <c r="B61" s="10" t="str">
        <f>Tarifas!B21</f>
        <v>WISA-AM (Isabela)</v>
      </c>
      <c r="C61" s="10" t="str">
        <f>Tarifas!C21</f>
        <v>ROS 7 a. m.–5 p. m.</v>
      </c>
      <c r="D61" s="36">
        <f>Tarifas!E21</f>
        <v>28.52</v>
      </c>
      <c r="E61" s="37">
        <f>E25/$D$25</f>
        <v>17.450598352276145</v>
      </c>
      <c r="F61" s="37">
        <f>F25/$D$25</f>
        <v>20.940721029526731</v>
      </c>
      <c r="G61" s="37">
        <f>G25/$D$25</f>
        <v>17.450598352276145</v>
      </c>
      <c r="H61" s="37">
        <f t="shared" si="3"/>
        <v>55.841917734079018</v>
      </c>
      <c r="I61" s="11">
        <f t="shared" si="4"/>
        <v>1592.61</v>
      </c>
      <c r="J61" s="13">
        <f t="shared" si="5"/>
        <v>6.1254230769230769E-3</v>
      </c>
      <c r="K61" s="9"/>
      <c r="L61" s="9"/>
      <c r="M61" s="9"/>
      <c r="N61" s="9"/>
    </row>
    <row r="62" spans="2:14" ht="38.1" customHeight="1">
      <c r="B62" s="15" t="str">
        <f>Tarifas!B22</f>
        <v xml:space="preserve">Auspicios: $1,075,000 pendientes de con con el RFP. No están sumados al escenario de $3,763,000. </v>
      </c>
      <c r="C62" s="15" t="str">
        <f>Tarifas!C22</f>
        <v>ROS 7 a. m.–5 p. m.</v>
      </c>
      <c r="D62" s="38">
        <f>Tarifas!E22</f>
        <v>28.52</v>
      </c>
      <c r="E62" s="39">
        <f>E25/$D$25</f>
        <v>17.450598352276145</v>
      </c>
      <c r="F62" s="39">
        <f>F25/$D$25</f>
        <v>20.940721029526731</v>
      </c>
      <c r="G62" s="39">
        <f>G25/$D$25</f>
        <v>17.450598352276145</v>
      </c>
      <c r="H62" s="39">
        <f t="shared" si="3"/>
        <v>55.841917734079018</v>
      </c>
      <c r="I62" s="16">
        <f t="shared" si="4"/>
        <v>1592.61</v>
      </c>
      <c r="J62" s="18">
        <f t="shared" si="5"/>
        <v>6.1254230769230769E-3</v>
      </c>
      <c r="K62" s="14"/>
      <c r="L62" s="14"/>
      <c r="M62" s="14"/>
      <c r="N62" s="14"/>
    </row>
    <row r="63" spans="2:14" ht="38.1" customHeight="1">
      <c r="B63" s="10" t="str">
        <f>Tarifas!B23</f>
        <v>WCPR-AM (Coamo)</v>
      </c>
      <c r="C63" s="10" t="str">
        <f>Tarifas!C23</f>
        <v>ROS 7 a. m.–5 p. m.</v>
      </c>
      <c r="D63" s="36">
        <f>Tarifas!E23</f>
        <v>28.52</v>
      </c>
      <c r="E63" s="37">
        <f>E25/$D$25</f>
        <v>17.450598352276145</v>
      </c>
      <c r="F63" s="37">
        <f>F25/$D$25</f>
        <v>20.940721029526731</v>
      </c>
      <c r="G63" s="37">
        <f>G25/$D$25</f>
        <v>17.450598352276145</v>
      </c>
      <c r="H63" s="37">
        <f t="shared" si="3"/>
        <v>55.841917734079018</v>
      </c>
      <c r="I63" s="11">
        <f t="shared" si="4"/>
        <v>1592.61</v>
      </c>
      <c r="J63" s="13">
        <f t="shared" si="5"/>
        <v>6.1254230769230769E-3</v>
      </c>
      <c r="K63" s="9"/>
      <c r="L63" s="9"/>
      <c r="M63" s="9"/>
      <c r="N63" s="9"/>
    </row>
    <row r="64" spans="2:14" ht="38.1" customHeight="1">
      <c r="B64" s="15" t="str">
        <f>Tarifas!B24</f>
        <v>WLPR-AM (SanSebastian)</v>
      </c>
      <c r="C64" s="15" t="str">
        <f>Tarifas!C24</f>
        <v>ROS 7 a. m.–5 p. m.</v>
      </c>
      <c r="D64" s="38">
        <f>Tarifas!E24</f>
        <v>28.52</v>
      </c>
      <c r="E64" s="39">
        <f>E25/$D$25</f>
        <v>17.450598352276145</v>
      </c>
      <c r="F64" s="39">
        <f>F25/$D$25</f>
        <v>20.940721029526731</v>
      </c>
      <c r="G64" s="39">
        <f>G25/$D$25</f>
        <v>17.450598352276145</v>
      </c>
      <c r="H64" s="39">
        <f t="shared" si="3"/>
        <v>55.841917734079018</v>
      </c>
      <c r="I64" s="16">
        <f t="shared" si="4"/>
        <v>1592.61</v>
      </c>
      <c r="J64" s="18">
        <f t="shared" si="5"/>
        <v>6.1254230769230769E-3</v>
      </c>
      <c r="K64" s="14"/>
      <c r="L64" s="14"/>
      <c r="M64" s="14"/>
      <c r="N64" s="14"/>
    </row>
    <row r="65" spans="2:14" ht="38.1" customHeight="1">
      <c r="B65" s="10" t="str">
        <f>Tarifas!B25</f>
        <v xml:space="preserve">Entregas estimadas con tarifas de referencia. </v>
      </c>
      <c r="C65" s="10" t="str">
        <f>Tarifas!C25</f>
        <v>ROS 7 a. m.–5 p. m.</v>
      </c>
      <c r="D65" s="36">
        <f>Tarifas!E25</f>
        <v>28.52</v>
      </c>
      <c r="E65" s="37">
        <f>E25/$D$25</f>
        <v>17.450598352276145</v>
      </c>
      <c r="F65" s="37">
        <f>F25/$D$25</f>
        <v>20.940721029526731</v>
      </c>
      <c r="G65" s="37">
        <f>G25/$D$25</f>
        <v>17.450598352276145</v>
      </c>
      <c r="H65" s="37">
        <f t="shared" si="3"/>
        <v>55.841917734079018</v>
      </c>
      <c r="I65" s="11">
        <f t="shared" si="4"/>
        <v>1592.61</v>
      </c>
      <c r="J65" s="13">
        <f t="shared" si="5"/>
        <v>6.1254230769230769E-3</v>
      </c>
      <c r="K65" s="9"/>
      <c r="L65" s="9"/>
      <c r="M65" s="9"/>
      <c r="N65" s="9"/>
    </row>
    <row r="66" spans="2:14" ht="38.1" customHeight="1">
      <c r="B66" s="15" t="str">
        <f>Tarifas!B26</f>
        <v>WENA-AM (Yauco)</v>
      </c>
      <c r="C66" s="15" t="str">
        <f>Tarifas!C26</f>
        <v>ROS 7 a. m.–5 p. m.</v>
      </c>
      <c r="D66" s="38">
        <f>Tarifas!E26</f>
        <v>28.52</v>
      </c>
      <c r="E66" s="39">
        <f>E25/$D$25</f>
        <v>17.450598352276145</v>
      </c>
      <c r="F66" s="39">
        <f>F25/$D$25</f>
        <v>20.940721029526731</v>
      </c>
      <c r="G66" s="39">
        <f>G25/$D$25</f>
        <v>17.450598352276145</v>
      </c>
      <c r="H66" s="39">
        <f t="shared" si="3"/>
        <v>55.841917734079018</v>
      </c>
      <c r="I66" s="16">
        <f t="shared" si="4"/>
        <v>1592.61</v>
      </c>
      <c r="J66" s="18">
        <f t="shared" si="5"/>
        <v>6.1254230769230769E-3</v>
      </c>
      <c r="K66" s="14"/>
      <c r="L66" s="14"/>
      <c r="M66" s="14"/>
      <c r="N66" s="14"/>
    </row>
    <row r="67" spans="2:14" ht="38.1" customHeight="1">
      <c r="B67" s="10" t="str">
        <f>Tarifas!B27</f>
        <v>SuperK 106Fm (Arecibo)</v>
      </c>
      <c r="C67" s="10" t="str">
        <f>Tarifas!C27</f>
        <v>ROS 7 a. m.–5 p. m.</v>
      </c>
      <c r="D67" s="36">
        <f>Tarifas!E27</f>
        <v>69</v>
      </c>
      <c r="E67" s="37">
        <f>E25/$D$25</f>
        <v>17.450598352276145</v>
      </c>
      <c r="F67" s="37">
        <f>F25/$D$25</f>
        <v>20.940721029526731</v>
      </c>
      <c r="G67" s="37">
        <f>G25/$D$25</f>
        <v>17.450598352276145</v>
      </c>
      <c r="H67" s="37">
        <f t="shared" si="3"/>
        <v>55.841917734079018</v>
      </c>
      <c r="I67" s="11">
        <f t="shared" si="4"/>
        <v>3853.09</v>
      </c>
      <c r="J67" s="13">
        <f t="shared" si="5"/>
        <v>1.4819576923076923E-2</v>
      </c>
      <c r="K67" s="9"/>
      <c r="L67" s="9"/>
      <c r="M67" s="9"/>
      <c r="N67" s="9"/>
    </row>
    <row r="68" spans="2:14" ht="38.1" customHeight="1">
      <c r="B68" s="15" t="str">
        <f>Tarifas!B28</f>
        <v>Radio Grito (Lares)-Hora del Grito 12md</v>
      </c>
      <c r="C68" s="15" t="s">
        <v>99</v>
      </c>
      <c r="D68" s="38">
        <f>Tarifas!E28</f>
        <v>27.6</v>
      </c>
      <c r="E68" s="39">
        <f>E25/$D$25</f>
        <v>17.450598352276145</v>
      </c>
      <c r="F68" s="39">
        <f>F25/$D$25</f>
        <v>20.940721029526731</v>
      </c>
      <c r="G68" s="39">
        <f>G25/$D$25</f>
        <v>17.450598352276145</v>
      </c>
      <c r="H68" s="39">
        <f t="shared" si="3"/>
        <v>55.841917734079018</v>
      </c>
      <c r="I68" s="16">
        <f t="shared" si="4"/>
        <v>1541.24</v>
      </c>
      <c r="J68" s="18">
        <f t="shared" si="5"/>
        <v>5.9278461538461542E-3</v>
      </c>
      <c r="K68" s="14"/>
      <c r="L68" s="14"/>
      <c r="M68" s="14"/>
      <c r="N68" s="14"/>
    </row>
    <row r="69" spans="2:14" ht="38.1" customHeight="1">
      <c r="B69" s="10" t="str">
        <f>Tarifas!B29</f>
        <v>NotiUno (NORTE)-La Hornilla &amp; John Alma-Spots</v>
      </c>
      <c r="C69" s="10" t="s">
        <v>100</v>
      </c>
      <c r="D69" s="36">
        <f>Tarifas!E29</f>
        <v>50.6</v>
      </c>
      <c r="E69" s="37">
        <f>E25/$D$25</f>
        <v>17.450598352276145</v>
      </c>
      <c r="F69" s="37">
        <f>F25/$D$25</f>
        <v>20.940721029526731</v>
      </c>
      <c r="G69" s="37">
        <f>G25/$D$25</f>
        <v>17.450598352276145</v>
      </c>
      <c r="H69" s="37">
        <f t="shared" si="3"/>
        <v>55.841917734079018</v>
      </c>
      <c r="I69" s="11">
        <f t="shared" si="4"/>
        <v>2825.6</v>
      </c>
      <c r="J69" s="13">
        <f t="shared" si="5"/>
        <v>1.0867692307692307E-2</v>
      </c>
      <c r="K69" s="9"/>
      <c r="L69" s="9"/>
      <c r="M69" s="9"/>
      <c r="N69" s="9"/>
    </row>
    <row r="70" spans="2:14" ht="38.1" customHeight="1">
      <c r="B70" s="15" t="str">
        <f>Tarifas!B30</f>
        <v>NotiUno (SUR-Ponce) ROS</v>
      </c>
      <c r="C70" s="15" t="str">
        <f>Tarifas!C30</f>
        <v>ROS 7 a. m.–5 p. m.</v>
      </c>
      <c r="D70" s="38">
        <f>Tarifas!E30</f>
        <v>50.6</v>
      </c>
      <c r="E70" s="39">
        <f>E25/$D$25</f>
        <v>17.450598352276145</v>
      </c>
      <c r="F70" s="39">
        <f>F25/$D$25</f>
        <v>20.940721029526731</v>
      </c>
      <c r="G70" s="39">
        <f>G25/$D$25</f>
        <v>17.450598352276145</v>
      </c>
      <c r="H70" s="39">
        <f t="shared" si="3"/>
        <v>55.841917734079018</v>
      </c>
      <c r="I70" s="16">
        <f>ROUND(I25-SUM(I53:I69),2)</f>
        <v>2825.63</v>
      </c>
      <c r="J70" s="18">
        <f t="shared" si="5"/>
        <v>1.0867807692307692E-2</v>
      </c>
      <c r="K70" s="14"/>
      <c r="L70" s="14"/>
      <c r="M70" s="14"/>
      <c r="N70" s="14"/>
    </row>
    <row r="71" spans="2:14" ht="30" customHeight="1">
      <c r="B71" s="19" t="s">
        <v>101</v>
      </c>
      <c r="C71" s="19"/>
      <c r="D71" s="19"/>
      <c r="E71" s="19"/>
      <c r="F71" s="19"/>
      <c r="G71" s="19"/>
      <c r="H71" s="19"/>
      <c r="I71" s="20">
        <f>SUM(I53:I70)</f>
        <v>37143.810000000005</v>
      </c>
      <c r="J71" s="19"/>
      <c r="K71" s="19"/>
      <c r="L71" s="19"/>
      <c r="M71" s="19"/>
      <c r="N71" s="19"/>
    </row>
    <row r="72" spans="2:14" ht="24.95" customHeight="1">
      <c r="B72" s="47" t="s">
        <v>42</v>
      </c>
      <c r="C72" s="47"/>
      <c r="D72" s="47"/>
      <c r="E72" s="47"/>
      <c r="F72" s="47"/>
      <c r="G72" s="47"/>
      <c r="H72" s="47"/>
      <c r="I72" s="47"/>
      <c r="J72" s="47"/>
      <c r="K72" s="47"/>
      <c r="L72" s="47"/>
      <c r="M72" s="47"/>
      <c r="N72" s="47"/>
    </row>
    <row r="73" spans="2:14" ht="38.1" customHeight="1">
      <c r="B73" s="10" t="str">
        <f>Tarifas!B31</f>
        <v>Planet</v>
      </c>
      <c r="C73" s="10" t="str">
        <f>Tarifas!C31</f>
        <v>10 puntos × 5 días</v>
      </c>
      <c r="D73" s="36">
        <f>Tarifas!E31</f>
        <v>5980</v>
      </c>
      <c r="E73" s="37">
        <f>E26/$D$26</f>
        <v>0.69802371541501973</v>
      </c>
      <c r="F73" s="37">
        <f>F26/$D$26</f>
        <v>0.69802371541501973</v>
      </c>
      <c r="G73" s="37">
        <f>G26/$D$26</f>
        <v>0.69802371541501973</v>
      </c>
      <c r="H73" s="37">
        <f>SUM(E73:G73)</f>
        <v>2.0940711462450592</v>
      </c>
      <c r="I73" s="11">
        <f>ROUND(H73*D73,2)</f>
        <v>12522.55</v>
      </c>
      <c r="J73" s="13">
        <f>I73/$C$21</f>
        <v>4.8163653846153842E-2</v>
      </c>
      <c r="K73" s="9"/>
      <c r="L73" s="9"/>
      <c r="M73" s="9"/>
      <c r="N73" s="9"/>
    </row>
    <row r="74" spans="2:14" ht="38.1" customHeight="1">
      <c r="B74" s="15" t="str">
        <f>Tarifas!B32</f>
        <v>BMedia</v>
      </c>
      <c r="C74" s="15" t="str">
        <f>Tarifas!C32</f>
        <v>7 puntos × 5 días</v>
      </c>
      <c r="D74" s="38">
        <f>Tarifas!E32</f>
        <v>4025</v>
      </c>
      <c r="E74" s="39">
        <f>E26/$D$26</f>
        <v>0.69802371541501973</v>
      </c>
      <c r="F74" s="39">
        <f>F26/$D$26</f>
        <v>0.69802371541501973</v>
      </c>
      <c r="G74" s="39">
        <f>G26/$D$26</f>
        <v>0.69802371541501973</v>
      </c>
      <c r="H74" s="39">
        <f>SUM(E74:G74)</f>
        <v>2.0940711462450592</v>
      </c>
      <c r="I74" s="16">
        <f>ROUND(H74*D74,2)</f>
        <v>8428.64</v>
      </c>
      <c r="J74" s="18">
        <f>I74/$C$21</f>
        <v>3.2417846153846151E-2</v>
      </c>
      <c r="K74" s="14"/>
      <c r="L74" s="14"/>
      <c r="M74" s="14"/>
      <c r="N74" s="14"/>
    </row>
    <row r="75" spans="2:14" ht="38.1" customHeight="1">
      <c r="B75" s="10" t="s">
        <v>122</v>
      </c>
      <c r="C75" s="10" t="str">
        <f>Tarifas!C33</f>
        <v>5 puntos × 5 días</v>
      </c>
      <c r="D75" s="36">
        <f>Tarifas!E33</f>
        <v>2300</v>
      </c>
      <c r="E75" s="37">
        <f>E26/$D$26</f>
        <v>0.69802371541501973</v>
      </c>
      <c r="F75" s="37">
        <f>F26/$D$26</f>
        <v>0.69802371541501973</v>
      </c>
      <c r="G75" s="37">
        <f>G26/$D$26</f>
        <v>0.69802371541501973</v>
      </c>
      <c r="H75" s="37">
        <f>SUM(E75:G75)</f>
        <v>2.0940711462450592</v>
      </c>
      <c r="I75" s="11">
        <f>ROUND(H75*D75,2)</f>
        <v>4816.3599999999997</v>
      </c>
      <c r="J75" s="13">
        <f>I75/$C$21</f>
        <v>1.8524461538461538E-2</v>
      </c>
      <c r="K75" s="9"/>
      <c r="L75" s="9"/>
      <c r="M75" s="9"/>
      <c r="N75" s="9"/>
    </row>
    <row r="76" spans="2:14" ht="38.1" customHeight="1">
      <c r="B76" s="15" t="str">
        <f>Tarifas!B34</f>
        <v>Yes</v>
      </c>
      <c r="C76" s="15" t="str">
        <f>Tarifas!C34</f>
        <v>6 puntos × 5 días</v>
      </c>
      <c r="D76" s="38">
        <f>Tarifas!E34</f>
        <v>4140</v>
      </c>
      <c r="E76" s="39">
        <f>E26/$D$26</f>
        <v>0.69802371541501973</v>
      </c>
      <c r="F76" s="39">
        <f>F26/$D$26</f>
        <v>0.69802371541501973</v>
      </c>
      <c r="G76" s="39">
        <f>G26/$D$26</f>
        <v>0.69802371541501973</v>
      </c>
      <c r="H76" s="39">
        <f>SUM(E76:G76)</f>
        <v>2.0940711462450592</v>
      </c>
      <c r="I76" s="16">
        <f>ROUND(I26-SUM(I73:I75),2)</f>
        <v>8669.4500000000007</v>
      </c>
      <c r="J76" s="18">
        <f>I76/$C$21</f>
        <v>3.3344038461538467E-2</v>
      </c>
      <c r="K76" s="14"/>
      <c r="L76" s="14"/>
      <c r="M76" s="14"/>
      <c r="N76" s="14"/>
    </row>
    <row r="77" spans="2:14" ht="30" customHeight="1">
      <c r="B77" s="19" t="s">
        <v>123</v>
      </c>
      <c r="C77" s="19"/>
      <c r="D77" s="19"/>
      <c r="E77" s="19"/>
      <c r="F77" s="19"/>
      <c r="G77" s="19"/>
      <c r="H77" s="19"/>
      <c r="I77" s="20">
        <f>SUM(I73:I76)</f>
        <v>34437</v>
      </c>
      <c r="J77" s="19"/>
      <c r="K77" s="19"/>
      <c r="L77" s="19"/>
      <c r="M77" s="19"/>
      <c r="N77" s="19"/>
    </row>
    <row r="78" spans="2:14" ht="27.95" customHeight="1">
      <c r="B78" s="45" t="s">
        <v>124</v>
      </c>
      <c r="C78" s="45"/>
      <c r="D78" s="45"/>
      <c r="E78" s="45"/>
      <c r="F78" s="45"/>
      <c r="G78" s="45"/>
      <c r="H78" s="45"/>
      <c r="I78" s="45"/>
      <c r="J78" s="45"/>
      <c r="K78" s="45"/>
      <c r="L78" s="45"/>
      <c r="M78" s="45"/>
      <c r="N78" s="45"/>
    </row>
    <row r="79" spans="2:14" ht="24.95" customHeight="1">
      <c r="B79" s="47" t="s">
        <v>43</v>
      </c>
      <c r="C79" s="47"/>
      <c r="D79" s="47"/>
      <c r="E79" s="47"/>
      <c r="F79" s="47"/>
      <c r="G79" s="47"/>
      <c r="H79" s="47"/>
      <c r="I79" s="47"/>
      <c r="J79" s="47"/>
      <c r="K79" s="47"/>
      <c r="L79" s="47"/>
      <c r="M79" s="47"/>
      <c r="N79" s="47"/>
    </row>
    <row r="80" spans="2:14" ht="38.1" customHeight="1">
      <c r="B80" s="10" t="str">
        <f>Tarifas!B35</f>
        <v>Meta</v>
      </c>
      <c r="C80" s="10" t="str">
        <f>Tarifas!C35</f>
        <v>Video / Reels / Stories</v>
      </c>
      <c r="D80" s="36">
        <f>Tarifas!E35</f>
        <v>8.625</v>
      </c>
      <c r="E80" s="40">
        <f>ROUNDDOWN(E27/$D80*1000,0)</f>
        <v>2158373</v>
      </c>
      <c r="F80" s="40">
        <f>ROUNDDOWN(F27/$D80*1000,0)</f>
        <v>3636707</v>
      </c>
      <c r="G80" s="40">
        <f>ROUNDDOWN(G27/$D80*1000,0)</f>
        <v>2565786</v>
      </c>
      <c r="H80" s="40">
        <f>SUM(E80:G80)</f>
        <v>8360866</v>
      </c>
      <c r="I80" s="11">
        <f>I27</f>
        <v>72112.479999999996</v>
      </c>
      <c r="J80" s="13">
        <f>I80/$C$21</f>
        <v>0.2773556923076923</v>
      </c>
      <c r="K80" s="9"/>
      <c r="L80" s="9"/>
      <c r="M80" s="9"/>
      <c r="N80" s="9"/>
    </row>
    <row r="81" spans="2:14" ht="30" customHeight="1">
      <c r="B81" s="19" t="s">
        <v>102</v>
      </c>
      <c r="C81" s="19"/>
      <c r="D81" s="19"/>
      <c r="E81" s="19"/>
      <c r="F81" s="19"/>
      <c r="G81" s="19"/>
      <c r="H81" s="19"/>
      <c r="I81" s="20">
        <f>SUM(I80:I80)</f>
        <v>72112.479999999996</v>
      </c>
      <c r="J81" s="19"/>
      <c r="K81" s="19"/>
      <c r="L81" s="19"/>
      <c r="M81" s="19"/>
      <c r="N81" s="19"/>
    </row>
    <row r="82" spans="2:14" ht="24.95" customHeight="1">
      <c r="B82" s="47" t="s">
        <v>44</v>
      </c>
      <c r="C82" s="47"/>
      <c r="D82" s="47"/>
      <c r="E82" s="47"/>
      <c r="F82" s="47"/>
      <c r="G82" s="47"/>
      <c r="H82" s="47"/>
      <c r="I82" s="47"/>
      <c r="J82" s="47"/>
      <c r="K82" s="47"/>
      <c r="L82" s="47"/>
      <c r="M82" s="47"/>
      <c r="N82" s="47"/>
    </row>
    <row r="83" spans="2:14" ht="38.1" customHeight="1">
      <c r="B83" s="10" t="str">
        <f>Tarifas!B36</f>
        <v>YouTube</v>
      </c>
      <c r="C83" s="10" t="str">
        <f>Tarifas!C36</f>
        <v>Video 15–30 s</v>
      </c>
      <c r="D83" s="36">
        <f>Tarifas!E36</f>
        <v>6.9</v>
      </c>
      <c r="E83" s="40">
        <f>ROUNDDOWN(E28/$D83*1000,0)</f>
        <v>1695652</v>
      </c>
      <c r="F83" s="40">
        <f>ROUNDDOWN(F28/$D83*1000,0)</f>
        <v>2260869</v>
      </c>
      <c r="G83" s="40">
        <f>ROUNDDOWN(G28/$D83*1000,0)</f>
        <v>1695656</v>
      </c>
      <c r="H83" s="40">
        <f>SUM(E83:G83)</f>
        <v>5652177</v>
      </c>
      <c r="I83" s="11">
        <f>I28</f>
        <v>39000.03</v>
      </c>
      <c r="J83" s="13">
        <f>I83/$C$21</f>
        <v>0.15000011538461538</v>
      </c>
      <c r="K83" s="9"/>
      <c r="L83" s="9"/>
      <c r="M83" s="9"/>
      <c r="N83" s="9"/>
    </row>
    <row r="84" spans="2:14" ht="30" customHeight="1">
      <c r="B84" s="19" t="s">
        <v>103</v>
      </c>
      <c r="C84" s="19"/>
      <c r="D84" s="19"/>
      <c r="E84" s="19"/>
      <c r="F84" s="19"/>
      <c r="G84" s="19"/>
      <c r="H84" s="19"/>
      <c r="I84" s="20">
        <f>SUM(I83:I83)</f>
        <v>39000.03</v>
      </c>
      <c r="J84" s="19"/>
      <c r="K84" s="19"/>
      <c r="L84" s="19"/>
      <c r="M84" s="19"/>
      <c r="N84" s="19"/>
    </row>
    <row r="89" spans="2:14" ht="24.95" customHeight="1">
      <c r="B89" s="47" t="s">
        <v>125</v>
      </c>
      <c r="C89" s="47"/>
      <c r="D89" s="47"/>
      <c r="E89" s="47"/>
      <c r="F89" s="47"/>
      <c r="G89" s="47"/>
      <c r="H89" s="47"/>
      <c r="I89" s="47"/>
      <c r="J89" s="47"/>
      <c r="K89" s="47"/>
      <c r="L89" s="47"/>
      <c r="M89" s="47"/>
      <c r="N89" s="47"/>
    </row>
    <row r="90" spans="2:14" ht="32.1" customHeight="1">
      <c r="B90" s="45" t="s">
        <v>115</v>
      </c>
      <c r="C90" s="45"/>
      <c r="D90" s="45"/>
      <c r="E90" s="45"/>
      <c r="F90" s="45"/>
      <c r="G90" s="45"/>
      <c r="H90" s="45"/>
      <c r="I90" s="45"/>
      <c r="J90" s="45"/>
      <c r="K90" s="45"/>
      <c r="L90" s="45"/>
      <c r="M90" s="45"/>
      <c r="N90" s="45"/>
    </row>
    <row r="91" spans="2:14" ht="32.1" customHeight="1">
      <c r="B91" s="45" t="s">
        <v>126</v>
      </c>
      <c r="C91" s="45"/>
      <c r="D91" s="45"/>
      <c r="E91" s="45"/>
      <c r="F91" s="45"/>
      <c r="G91" s="45"/>
      <c r="H91" s="45"/>
      <c r="I91" s="45"/>
      <c r="J91" s="45"/>
      <c r="K91" s="45"/>
      <c r="L91" s="45"/>
      <c r="M91" s="45"/>
      <c r="N91" s="45"/>
    </row>
    <row r="92" spans="2:14" ht="33.950000000000003" customHeight="1">
      <c r="B92" s="45" t="s">
        <v>127</v>
      </c>
      <c r="C92" s="45"/>
      <c r="D92" s="45"/>
      <c r="E92" s="45"/>
      <c r="F92" s="45"/>
      <c r="G92" s="45"/>
      <c r="H92" s="45"/>
      <c r="I92" s="45"/>
      <c r="J92" s="45"/>
      <c r="K92" s="45"/>
      <c r="L92" s="45"/>
      <c r="M92" s="45"/>
      <c r="N92" s="45"/>
    </row>
    <row r="93" spans="2:14">
      <c r="B93" s="2" t="s">
        <v>61</v>
      </c>
      <c r="C93" s="35">
        <f>'AGA y criterios'!D29</f>
        <v>70000</v>
      </c>
    </row>
    <row r="95" spans="2:14" ht="42" customHeight="1">
      <c r="B95" s="6" t="s">
        <v>38</v>
      </c>
      <c r="C95" s="7" t="s">
        <v>63</v>
      </c>
      <c r="D95" s="7" t="s">
        <v>64</v>
      </c>
      <c r="E95" s="7" t="s">
        <v>118</v>
      </c>
      <c r="F95" s="7" t="s">
        <v>70</v>
      </c>
      <c r="G95" s="7" t="s">
        <v>119</v>
      </c>
      <c r="H95" s="7" t="s">
        <v>72</v>
      </c>
      <c r="I95" s="7" t="s">
        <v>2</v>
      </c>
      <c r="J95" s="8" t="s">
        <v>13</v>
      </c>
    </row>
    <row r="96" spans="2:14" ht="30.95" customHeight="1">
      <c r="B96" s="10" t="s">
        <v>8</v>
      </c>
      <c r="C96" s="10" t="s">
        <v>73</v>
      </c>
      <c r="D96" s="36">
        <f>SUM(Tarifas!E7:E12)</f>
        <v>10068.25</v>
      </c>
      <c r="E96" s="11">
        <f>ROUND($C$93*('Base de distribución'!E50/SUM('Base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6622.43</v>
      </c>
      <c r="F96" s="11">
        <f>ROUND($C$93*('Base de distribución'!E51/SUM('Base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8514.5499999999993</v>
      </c>
      <c r="G96" s="11">
        <f>ROUND($C$93*('Base de distribución'!E52/SUM('Base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5676.37</v>
      </c>
      <c r="H96" s="37">
        <f>SUM(H117:H122)</f>
        <v>12.403357087875252</v>
      </c>
      <c r="I96" s="11">
        <f>SUM(E96:G96)</f>
        <v>20813.349999999999</v>
      </c>
      <c r="J96" s="13">
        <f>I96/$C$93</f>
        <v>0.29733357142857142</v>
      </c>
      <c r="K96" s="9"/>
      <c r="L96" s="9"/>
      <c r="M96" s="9"/>
      <c r="N96" s="9"/>
    </row>
    <row r="97" spans="2:14" ht="30.95" customHeight="1">
      <c r="B97" s="15" t="s">
        <v>41</v>
      </c>
      <c r="C97" s="15" t="s">
        <v>74</v>
      </c>
      <c r="D97" s="38">
        <f>SUM(Tarifas!E13:E30)</f>
        <v>665.16</v>
      </c>
      <c r="E97" s="16">
        <f>ROUND($C$93*('Base de distribución'!E53/SUM('Base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3125.08</v>
      </c>
      <c r="F97" s="16">
        <f>ROUND($C$93*('Base de distribución'!E54/SUM('Base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3750.1</v>
      </c>
      <c r="G97" s="16">
        <f>ROUND($C$93*('Base de distribución'!E55/SUM('Base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3125.08</v>
      </c>
      <c r="H97" s="39">
        <f>SUM(H125:H142)</f>
        <v>270.61861807685369</v>
      </c>
      <c r="I97" s="16">
        <f>SUM(E97:G97)</f>
        <v>10000.26</v>
      </c>
      <c r="J97" s="18">
        <f>I97/$C$93</f>
        <v>0.14286085714285715</v>
      </c>
      <c r="K97" s="14"/>
      <c r="L97" s="14"/>
      <c r="M97" s="14"/>
      <c r="N97" s="14"/>
    </row>
    <row r="98" spans="2:14" ht="30.95" customHeight="1">
      <c r="B98" s="10" t="s">
        <v>42</v>
      </c>
      <c r="C98" s="10" t="s">
        <v>120</v>
      </c>
      <c r="D98" s="36">
        <f>SUM(Tarifas!E31:E34)</f>
        <v>16445</v>
      </c>
      <c r="E98" s="11">
        <f>ROUND($C$93*('Base de distribución'!E56/SUM('Base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3090.5</v>
      </c>
      <c r="F98" s="11">
        <f>ROUND($C$93*('Base de distribución'!E57/SUM('Base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3090.5</v>
      </c>
      <c r="G98" s="11">
        <f>ROUND($C$93*('Base de distribución'!E58/SUM('Base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3090.5</v>
      </c>
      <c r="H98" s="37">
        <f>H145*Tarifas!F31+H146*Tarifas!F32+H147*Tarifas!F33+H148*Tarifas!F34</f>
        <v>15.786074794770446</v>
      </c>
      <c r="I98" s="11">
        <f>SUM(E98:G98)</f>
        <v>9271.5</v>
      </c>
      <c r="J98" s="13">
        <f>I98/$C$93</f>
        <v>0.13245000000000001</v>
      </c>
      <c r="K98" s="9"/>
      <c r="L98" s="9"/>
      <c r="M98" s="9"/>
      <c r="N98" s="9"/>
    </row>
    <row r="99" spans="2:14" ht="30.95" customHeight="1">
      <c r="B99" s="15" t="s">
        <v>43</v>
      </c>
      <c r="C99" s="15" t="s">
        <v>75</v>
      </c>
      <c r="D99" s="38">
        <f>Tarifas!E35</f>
        <v>8.625</v>
      </c>
      <c r="E99" s="16">
        <f>ROUND($C$93*('Base de distribución'!E59/SUM('Base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5011.99</v>
      </c>
      <c r="F99" s="16">
        <f>ROUND($C$93*('Base de distribución'!E60/SUM('Base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8444.85</v>
      </c>
      <c r="G99" s="16">
        <f>ROUND($C$93*('Base de distribución'!E61/SUM('Base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5958.05</v>
      </c>
      <c r="H99" s="41">
        <f>SUM(H152:H152)</f>
        <v>2251001</v>
      </c>
      <c r="I99" s="16">
        <f>SUM(E99:G99)</f>
        <v>19414.89</v>
      </c>
      <c r="J99" s="18">
        <f>I99/$C$93</f>
        <v>0.27735557142857142</v>
      </c>
      <c r="K99" s="14"/>
      <c r="L99" s="14"/>
      <c r="M99" s="14"/>
      <c r="N99" s="14"/>
    </row>
    <row r="100" spans="2:14" ht="30.95" customHeight="1">
      <c r="B100" s="10" t="s">
        <v>44</v>
      </c>
      <c r="C100" s="10" t="s">
        <v>75</v>
      </c>
      <c r="D100" s="36">
        <f>Tarifas!E36</f>
        <v>6.9</v>
      </c>
      <c r="E100" s="11">
        <f>ROUND($C$93*('Base de distribución'!E62/SUM('Base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3150</v>
      </c>
      <c r="F100" s="11">
        <f>ROUND($C$93*('Base de distribución'!E63/SUM('Base de distribución'!E50,'Base de distribución'!E51,'Base de distribución'!E52,'Base de distribución'!E53,'Base de distribución'!E54,'Base de distribución'!E55,'Base de distribución'!E56,'Base de distribución'!E57,'Base de distribución'!E58,'Base de distribución'!E59,'Base de distribución'!E60,'Base de distribución'!E61,'Base de distribución'!E62,'Base de distribución'!E63,'Base de distribución'!E64)),2)</f>
        <v>4200</v>
      </c>
      <c r="G100" s="11">
        <f>ROUND($C$93-SUM(E96:G96,E97:G97,E98:G98,E99:G99,E100:F100),2)</f>
        <v>3150</v>
      </c>
      <c r="H100" s="40">
        <f>SUM(H155:H155)</f>
        <v>1521737</v>
      </c>
      <c r="I100" s="11">
        <f>SUM(E100:G100)</f>
        <v>10500</v>
      </c>
      <c r="J100" s="13">
        <f>I100/$C$93</f>
        <v>0.15</v>
      </c>
      <c r="K100" s="9"/>
      <c r="L100" s="9"/>
      <c r="M100" s="9"/>
      <c r="N100" s="9"/>
    </row>
    <row r="101" spans="2:14" ht="30" customHeight="1">
      <c r="B101" s="19" t="s">
        <v>78</v>
      </c>
      <c r="C101" s="19"/>
      <c r="D101" s="19"/>
      <c r="E101" s="20">
        <f>SUM(E96:E100)</f>
        <v>21000</v>
      </c>
      <c r="F101" s="20">
        <f>SUM(F96:F100)</f>
        <v>28000</v>
      </c>
      <c r="G101" s="20">
        <f>SUM(G96:G100)</f>
        <v>21000</v>
      </c>
      <c r="H101" s="19"/>
      <c r="I101" s="20">
        <f>SUM(I96:I100)</f>
        <v>70000</v>
      </c>
      <c r="J101" s="22">
        <f>SUM(J96:J100)</f>
        <v>0.99999999999999989</v>
      </c>
      <c r="K101" s="19"/>
      <c r="L101" s="19"/>
      <c r="M101" s="19"/>
      <c r="N101" s="19"/>
    </row>
    <row r="102" spans="2:14">
      <c r="B102" s="2" t="s">
        <v>79</v>
      </c>
      <c r="C102" s="42">
        <f>ROUND(C93-I101,2)</f>
        <v>0</v>
      </c>
    </row>
    <row r="103" spans="2:14" ht="32.1" customHeight="1">
      <c r="B103" s="45" t="s">
        <v>80</v>
      </c>
      <c r="C103" s="45"/>
      <c r="D103" s="45"/>
      <c r="E103" s="45"/>
      <c r="F103" s="45"/>
      <c r="G103" s="45"/>
      <c r="H103" s="45"/>
      <c r="I103" s="45"/>
      <c r="J103" s="45"/>
      <c r="K103" s="45"/>
      <c r="L103" s="45"/>
      <c r="M103" s="45"/>
      <c r="N103" s="45"/>
    </row>
    <row r="104" spans="2:14" ht="32.1" customHeight="1">
      <c r="B104" s="45" t="s">
        <v>81</v>
      </c>
      <c r="C104" s="45"/>
      <c r="D104" s="45"/>
      <c r="E104" s="45"/>
      <c r="F104" s="45"/>
      <c r="G104" s="45"/>
      <c r="H104" s="45"/>
      <c r="I104" s="45"/>
      <c r="J104" s="45"/>
      <c r="K104" s="45"/>
      <c r="L104" s="45"/>
      <c r="M104" s="45"/>
      <c r="N104" s="45"/>
    </row>
    <row r="106" spans="2:14" ht="24.95" customHeight="1">
      <c r="B106" s="47" t="s">
        <v>82</v>
      </c>
      <c r="C106" s="47"/>
      <c r="D106" s="47"/>
      <c r="E106" s="47"/>
      <c r="F106" s="47"/>
      <c r="G106" s="47"/>
      <c r="H106" s="47"/>
      <c r="I106" s="47"/>
      <c r="J106" s="47"/>
      <c r="K106" s="47"/>
      <c r="L106" s="47"/>
      <c r="M106" s="47"/>
      <c r="N106" s="47"/>
    </row>
    <row r="107" spans="2:14" ht="42" customHeight="1">
      <c r="B107" s="6" t="s">
        <v>38</v>
      </c>
      <c r="C107" s="7" t="s">
        <v>83</v>
      </c>
      <c r="D107" s="7" t="s">
        <v>84</v>
      </c>
      <c r="E107" s="7" t="s">
        <v>118</v>
      </c>
      <c r="F107" s="7" t="s">
        <v>70</v>
      </c>
      <c r="G107" s="8" t="s">
        <v>119</v>
      </c>
    </row>
    <row r="108" spans="2:14" ht="44.1" customHeight="1">
      <c r="B108" s="10" t="s">
        <v>8</v>
      </c>
      <c r="C108" s="10" t="s">
        <v>85</v>
      </c>
      <c r="D108" s="10" t="s">
        <v>86</v>
      </c>
      <c r="E108" s="9" t="s">
        <v>118</v>
      </c>
      <c r="F108" s="9" t="s">
        <v>70</v>
      </c>
      <c r="G108" s="9" t="s">
        <v>119</v>
      </c>
      <c r="H108" s="9"/>
      <c r="I108" s="9"/>
      <c r="J108" s="9"/>
      <c r="K108" s="9"/>
      <c r="L108" s="9"/>
      <c r="M108" s="9"/>
      <c r="N108" s="9"/>
    </row>
    <row r="109" spans="2:14" ht="44.1" customHeight="1">
      <c r="B109" s="15" t="s">
        <v>41</v>
      </c>
      <c r="C109" s="15" t="s">
        <v>87</v>
      </c>
      <c r="D109" s="15" t="s">
        <v>88</v>
      </c>
      <c r="E109" s="14" t="s">
        <v>118</v>
      </c>
      <c r="F109" s="14" t="s">
        <v>70</v>
      </c>
      <c r="G109" s="14" t="s">
        <v>119</v>
      </c>
      <c r="H109" s="14"/>
      <c r="I109" s="14"/>
      <c r="J109" s="14"/>
      <c r="K109" s="14"/>
      <c r="L109" s="14"/>
      <c r="M109" s="14"/>
      <c r="N109" s="14"/>
    </row>
    <row r="110" spans="2:14" ht="44.1" customHeight="1">
      <c r="B110" s="10" t="s">
        <v>42</v>
      </c>
      <c r="C110" s="10" t="s">
        <v>121</v>
      </c>
      <c r="D110" s="10" t="s">
        <v>88</v>
      </c>
      <c r="E110" s="9" t="s">
        <v>118</v>
      </c>
      <c r="F110" s="9" t="s">
        <v>70</v>
      </c>
      <c r="G110" s="9" t="s">
        <v>119</v>
      </c>
      <c r="H110" s="9"/>
      <c r="I110" s="9"/>
      <c r="J110" s="9"/>
      <c r="K110" s="9"/>
      <c r="L110" s="9"/>
      <c r="M110" s="9"/>
      <c r="N110" s="9"/>
    </row>
    <row r="111" spans="2:14" ht="44.1" customHeight="1">
      <c r="B111" s="15" t="s">
        <v>43</v>
      </c>
      <c r="C111" s="15" t="s">
        <v>89</v>
      </c>
      <c r="D111" s="15" t="s">
        <v>86</v>
      </c>
      <c r="E111" s="14" t="s">
        <v>118</v>
      </c>
      <c r="F111" s="14" t="s">
        <v>70</v>
      </c>
      <c r="G111" s="14" t="s">
        <v>119</v>
      </c>
      <c r="H111" s="14"/>
      <c r="I111" s="14"/>
      <c r="J111" s="14"/>
      <c r="K111" s="14"/>
      <c r="L111" s="14"/>
      <c r="M111" s="14"/>
      <c r="N111" s="14"/>
    </row>
    <row r="112" spans="2:14" ht="44.1" customHeight="1">
      <c r="B112" s="10" t="s">
        <v>44</v>
      </c>
      <c r="C112" s="10" t="s">
        <v>90</v>
      </c>
      <c r="D112" s="10" t="s">
        <v>86</v>
      </c>
      <c r="E112" s="9" t="s">
        <v>118</v>
      </c>
      <c r="F112" s="9" t="s">
        <v>70</v>
      </c>
      <c r="G112" s="9" t="s">
        <v>119</v>
      </c>
      <c r="H112" s="9"/>
      <c r="I112" s="9"/>
      <c r="J112" s="9"/>
      <c r="K112" s="9"/>
      <c r="L112" s="9"/>
      <c r="M112" s="9"/>
      <c r="N112" s="9"/>
    </row>
    <row r="114" spans="2:14" ht="24.95" customHeight="1">
      <c r="B114" s="47" t="s">
        <v>93</v>
      </c>
      <c r="C114" s="47"/>
      <c r="D114" s="47"/>
      <c r="E114" s="47"/>
      <c r="F114" s="47"/>
      <c r="G114" s="47"/>
      <c r="H114" s="47"/>
      <c r="I114" s="47"/>
      <c r="J114" s="47"/>
      <c r="K114" s="47"/>
      <c r="L114" s="47"/>
      <c r="M114" s="47"/>
      <c r="N114" s="47"/>
    </row>
    <row r="115" spans="2:14" ht="42" customHeight="1">
      <c r="B115" s="6" t="s">
        <v>94</v>
      </c>
      <c r="C115" s="7" t="s">
        <v>95</v>
      </c>
      <c r="D115" s="7" t="s">
        <v>64</v>
      </c>
      <c r="E115" s="7" t="s">
        <v>118</v>
      </c>
      <c r="F115" s="7" t="s">
        <v>70</v>
      </c>
      <c r="G115" s="7" t="s">
        <v>119</v>
      </c>
      <c r="H115" s="7" t="s">
        <v>96</v>
      </c>
      <c r="I115" s="7" t="s">
        <v>2</v>
      </c>
      <c r="J115" s="8" t="s">
        <v>97</v>
      </c>
    </row>
    <row r="116" spans="2:14" ht="24.95" customHeight="1">
      <c r="B116" s="47" t="s">
        <v>8</v>
      </c>
      <c r="C116" s="47"/>
      <c r="D116" s="47"/>
      <c r="E116" s="47"/>
      <c r="F116" s="47"/>
      <c r="G116" s="47"/>
      <c r="H116" s="47"/>
      <c r="I116" s="47"/>
      <c r="J116" s="47"/>
      <c r="K116" s="47"/>
      <c r="L116" s="47"/>
      <c r="M116" s="47"/>
      <c r="N116" s="47"/>
    </row>
    <row r="117" spans="2:14" ht="38.1" customHeight="1">
      <c r="B117" s="10" t="str">
        <f>Tarifas!B7</f>
        <v>Telemundo</v>
      </c>
      <c r="C117" s="10" t="str">
        <f>Tarifas!C7</f>
        <v>Dia a Dia</v>
      </c>
      <c r="D117" s="36">
        <f>Tarifas!E7</f>
        <v>782</v>
      </c>
      <c r="E117" s="37">
        <f>E96/$D$96</f>
        <v>0.65775383010950272</v>
      </c>
      <c r="F117" s="37">
        <f>F96/$D$96</f>
        <v>0.84568321207757047</v>
      </c>
      <c r="G117" s="37">
        <f>G96/$D$96</f>
        <v>0.56378913912546869</v>
      </c>
      <c r="H117" s="37">
        <f t="shared" ref="H117:H122" si="6">SUM(E117:G117)</f>
        <v>2.0672261813125421</v>
      </c>
      <c r="I117" s="11">
        <f>ROUND(H117*D117,2)</f>
        <v>1616.57</v>
      </c>
      <c r="J117" s="13">
        <f t="shared" ref="J117:J122" si="7">I117/$C$93</f>
        <v>2.3093857142857142E-2</v>
      </c>
      <c r="K117" s="9"/>
      <c r="L117" s="9"/>
      <c r="M117" s="9"/>
      <c r="N117" s="9"/>
    </row>
    <row r="118" spans="2:14" ht="38.1" customHeight="1">
      <c r="B118" s="15" t="str">
        <f>Tarifas!B8</f>
        <v>Telemundo</v>
      </c>
      <c r="C118" s="15" t="str">
        <f>Tarifas!C8</f>
        <v>PR Gana 6pm (M,W,T,f,Su)</v>
      </c>
      <c r="D118" s="38">
        <f>Tarifas!E8</f>
        <v>2541.5</v>
      </c>
      <c r="E118" s="39">
        <f>E96/$D$96</f>
        <v>0.65775383010950272</v>
      </c>
      <c r="F118" s="39">
        <f>F96/$D$96</f>
        <v>0.84568321207757047</v>
      </c>
      <c r="G118" s="39">
        <f>G96/$D$96</f>
        <v>0.56378913912546869</v>
      </c>
      <c r="H118" s="39">
        <f t="shared" si="6"/>
        <v>2.0672261813125421</v>
      </c>
      <c r="I118" s="16">
        <f>ROUND(H118*D118,2)</f>
        <v>5253.86</v>
      </c>
      <c r="J118" s="18">
        <f t="shared" si="7"/>
        <v>7.5055142857142848E-2</v>
      </c>
      <c r="K118" s="14"/>
      <c r="L118" s="14"/>
      <c r="M118" s="14"/>
      <c r="N118" s="14"/>
    </row>
    <row r="119" spans="2:14" ht="38.1" customHeight="1">
      <c r="B119" s="10" t="str">
        <f>Tarifas!B9</f>
        <v>WAPA</v>
      </c>
      <c r="C119" s="10" t="str">
        <f>Tarifas!C9</f>
        <v>Pegate al MedioDIa</v>
      </c>
      <c r="D119" s="36">
        <f>Tarifas!E9</f>
        <v>977.5</v>
      </c>
      <c r="E119" s="37">
        <f>E96/$D$96</f>
        <v>0.65775383010950272</v>
      </c>
      <c r="F119" s="37">
        <f>F96/$D$96</f>
        <v>0.84568321207757047</v>
      </c>
      <c r="G119" s="37">
        <f>G96/$D$96</f>
        <v>0.56378913912546869</v>
      </c>
      <c r="H119" s="37">
        <f t="shared" si="6"/>
        <v>2.0672261813125421</v>
      </c>
      <c r="I119" s="11">
        <f>ROUND(H119*D119,2)</f>
        <v>2020.71</v>
      </c>
      <c r="J119" s="13">
        <f t="shared" si="7"/>
        <v>2.8867285714285713E-2</v>
      </c>
      <c r="K119" s="9"/>
      <c r="L119" s="9"/>
      <c r="M119" s="9"/>
      <c r="N119" s="9"/>
    </row>
    <row r="120" spans="2:14" ht="38.1" customHeight="1">
      <c r="B120" s="15" t="str">
        <f>Tarifas!B10</f>
        <v>WAPA</v>
      </c>
      <c r="C120" s="15" t="str">
        <f>Tarifas!C10</f>
        <v>Reality-Funcion Estelar 7p</v>
      </c>
      <c r="D120" s="38">
        <f>Tarifas!E10</f>
        <v>3519</v>
      </c>
      <c r="E120" s="39">
        <f>E96/$D$96</f>
        <v>0.65775383010950272</v>
      </c>
      <c r="F120" s="39">
        <f>F96/$D$96</f>
        <v>0.84568321207757047</v>
      </c>
      <c r="G120" s="39">
        <f>G96/$D$96</f>
        <v>0.56378913912546869</v>
      </c>
      <c r="H120" s="39">
        <f t="shared" si="6"/>
        <v>2.0672261813125421</v>
      </c>
      <c r="I120" s="16">
        <f>ROUND(H120*D120,2)</f>
        <v>7274.57</v>
      </c>
      <c r="J120" s="18">
        <f t="shared" si="7"/>
        <v>0.10392242857142857</v>
      </c>
      <c r="K120" s="14"/>
      <c r="L120" s="14"/>
      <c r="M120" s="14"/>
      <c r="N120" s="14"/>
    </row>
    <row r="121" spans="2:14" ht="38.1" customHeight="1">
      <c r="B121" s="10" t="str">
        <f>Tarifas!B11</f>
        <v>TeleOnce</v>
      </c>
      <c r="C121" s="10" t="str">
        <f>Tarifas!C11</f>
        <v>PR en Vivo</v>
      </c>
      <c r="D121" s="36">
        <f>Tarifas!E11</f>
        <v>586.5</v>
      </c>
      <c r="E121" s="37">
        <f>E96/$D$96</f>
        <v>0.65775383010950272</v>
      </c>
      <c r="F121" s="37">
        <f>F96/$D$96</f>
        <v>0.84568321207757047</v>
      </c>
      <c r="G121" s="37">
        <f>G96/$D$96</f>
        <v>0.56378913912546869</v>
      </c>
      <c r="H121" s="37">
        <f t="shared" si="6"/>
        <v>2.0672261813125421</v>
      </c>
      <c r="I121" s="11">
        <f>ROUND(H121*D121,2)</f>
        <v>1212.43</v>
      </c>
      <c r="J121" s="13">
        <f t="shared" si="7"/>
        <v>1.7320428571428573E-2</v>
      </c>
      <c r="K121" s="9"/>
      <c r="L121" s="9"/>
      <c r="M121" s="9"/>
      <c r="N121" s="9"/>
    </row>
    <row r="122" spans="2:14" ht="38.1" customHeight="1">
      <c r="B122" s="15" t="str">
        <f>Tarifas!B12</f>
        <v>TeleOnce</v>
      </c>
      <c r="C122" s="15" t="str">
        <f>Tarifas!C12</f>
        <v>Las Noticias Prime</v>
      </c>
      <c r="D122" s="38">
        <f>Tarifas!E12</f>
        <v>1661.75</v>
      </c>
      <c r="E122" s="39">
        <f>E96/$D$96</f>
        <v>0.65775383010950272</v>
      </c>
      <c r="F122" s="39">
        <f>F96/$D$96</f>
        <v>0.84568321207757047</v>
      </c>
      <c r="G122" s="39">
        <f>G96/$D$96</f>
        <v>0.56378913912546869</v>
      </c>
      <c r="H122" s="39">
        <f t="shared" si="6"/>
        <v>2.0672261813125421</v>
      </c>
      <c r="I122" s="16">
        <f>ROUND(I96-SUM(I117:I121),2)</f>
        <v>3435.21</v>
      </c>
      <c r="J122" s="18">
        <f t="shared" si="7"/>
        <v>4.9074428571428574E-2</v>
      </c>
      <c r="K122" s="14"/>
      <c r="L122" s="14"/>
      <c r="M122" s="14"/>
      <c r="N122" s="14"/>
    </row>
    <row r="123" spans="2:14" ht="30" customHeight="1">
      <c r="B123" s="19" t="s">
        <v>98</v>
      </c>
      <c r="C123" s="19"/>
      <c r="D123" s="19"/>
      <c r="E123" s="19"/>
      <c r="F123" s="19"/>
      <c r="G123" s="19"/>
      <c r="H123" s="19"/>
      <c r="I123" s="20">
        <f>SUM(I117:I122)</f>
        <v>20813.349999999999</v>
      </c>
      <c r="J123" s="19"/>
      <c r="K123" s="19"/>
      <c r="L123" s="19"/>
      <c r="M123" s="19"/>
      <c r="N123" s="19"/>
    </row>
    <row r="124" spans="2:14" ht="24.95" customHeight="1">
      <c r="B124" s="47" t="s">
        <v>41</v>
      </c>
      <c r="C124" s="47"/>
      <c r="D124" s="47"/>
      <c r="E124" s="47"/>
      <c r="F124" s="47"/>
      <c r="G124" s="47"/>
      <c r="H124" s="47"/>
      <c r="I124" s="47"/>
      <c r="J124" s="47"/>
      <c r="K124" s="47"/>
      <c r="L124" s="47"/>
      <c r="M124" s="47"/>
      <c r="N124" s="47"/>
    </row>
    <row r="125" spans="2:14" ht="38.1" customHeight="1">
      <c r="B125" s="10" t="str">
        <f>Tarifas!B13</f>
        <v>Unica Radio-1230am</v>
      </c>
      <c r="C125" s="10" t="str">
        <f>Tarifas!C13</f>
        <v>ROS 7 a. m.–5 p. m.</v>
      </c>
      <c r="D125" s="36">
        <f>Tarifas!E13</f>
        <v>36.799999999999997</v>
      </c>
      <c r="E125" s="37">
        <f>E97/$D$97</f>
        <v>4.6982380179205006</v>
      </c>
      <c r="F125" s="37">
        <f>F97/$D$97</f>
        <v>5.6378916350953157</v>
      </c>
      <c r="G125" s="37">
        <f>G97/$D$97</f>
        <v>4.6982380179205006</v>
      </c>
      <c r="H125" s="37">
        <f t="shared" ref="H125:H142" si="8">SUM(E125:G125)</f>
        <v>15.034367670936318</v>
      </c>
      <c r="I125" s="11">
        <f t="shared" ref="I125:I141" si="9">ROUND(H125*D125,2)</f>
        <v>553.26</v>
      </c>
      <c r="J125" s="13">
        <f t="shared" ref="J125:J142" si="10">I125/$C$93</f>
        <v>7.9037142857142847E-3</v>
      </c>
      <c r="K125" s="9"/>
      <c r="L125" s="9"/>
      <c r="M125" s="9"/>
      <c r="N125" s="9"/>
    </row>
    <row r="126" spans="2:14" ht="38.1" customHeight="1">
      <c r="B126" s="15" t="str">
        <f>Tarifas!B14</f>
        <v>Radio Once-1120AM</v>
      </c>
      <c r="C126" s="15" t="str">
        <f>Tarifas!C14</f>
        <v>ROS 7 a. m.–5 p. m.</v>
      </c>
      <c r="D126" s="38">
        <f>Tarifas!E14</f>
        <v>36.799999999999997</v>
      </c>
      <c r="E126" s="39">
        <f>E97/$D$97</f>
        <v>4.6982380179205006</v>
      </c>
      <c r="F126" s="39">
        <f>F97/$D$97</f>
        <v>5.6378916350953157</v>
      </c>
      <c r="G126" s="39">
        <f>G97/$D$97</f>
        <v>4.6982380179205006</v>
      </c>
      <c r="H126" s="39">
        <f t="shared" si="8"/>
        <v>15.034367670936318</v>
      </c>
      <c r="I126" s="16">
        <f t="shared" si="9"/>
        <v>553.26</v>
      </c>
      <c r="J126" s="18">
        <f t="shared" si="10"/>
        <v>7.9037142857142847E-3</v>
      </c>
      <c r="K126" s="14"/>
      <c r="L126" s="14"/>
      <c r="M126" s="14"/>
      <c r="N126" s="14"/>
    </row>
    <row r="127" spans="2:14" ht="38.1" customHeight="1">
      <c r="B127" s="10" t="str">
        <f>Tarifas!B15</f>
        <v>WAPA Radio-Borinquen</v>
      </c>
      <c r="C127" s="10" t="str">
        <f>Tarifas!C15</f>
        <v>ROS 7 a. m.–5 p. m.</v>
      </c>
      <c r="D127" s="36">
        <f>Tarifas!E15</f>
        <v>55.2</v>
      </c>
      <c r="E127" s="37">
        <f>E97/$D$97</f>
        <v>4.6982380179205006</v>
      </c>
      <c r="F127" s="37">
        <f>F97/$D$97</f>
        <v>5.6378916350953157</v>
      </c>
      <c r="G127" s="37">
        <f>G97/$D$97</f>
        <v>4.6982380179205006</v>
      </c>
      <c r="H127" s="37">
        <f t="shared" si="8"/>
        <v>15.034367670936318</v>
      </c>
      <c r="I127" s="11">
        <f t="shared" si="9"/>
        <v>829.9</v>
      </c>
      <c r="J127" s="13">
        <f t="shared" si="10"/>
        <v>1.1855714285714285E-2</v>
      </c>
      <c r="K127" s="9"/>
      <c r="L127" s="9"/>
      <c r="M127" s="9"/>
      <c r="N127" s="9"/>
    </row>
    <row r="128" spans="2:14" ht="38.1" customHeight="1">
      <c r="B128" s="15" t="str">
        <f>Tarifas!B16</f>
        <v>WAEL-FM</v>
      </c>
      <c r="C128" s="15" t="str">
        <f>Tarifas!C16</f>
        <v>ROS 7 a. m.–5 p. m.</v>
      </c>
      <c r="D128" s="38">
        <f>Tarifas!E16</f>
        <v>36.799999999999997</v>
      </c>
      <c r="E128" s="39">
        <f>E97/$D$97</f>
        <v>4.6982380179205006</v>
      </c>
      <c r="F128" s="39">
        <f>F97/$D$97</f>
        <v>5.6378916350953157</v>
      </c>
      <c r="G128" s="39">
        <f>G97/$D$97</f>
        <v>4.6982380179205006</v>
      </c>
      <c r="H128" s="39">
        <f t="shared" si="8"/>
        <v>15.034367670936318</v>
      </c>
      <c r="I128" s="16">
        <f t="shared" si="9"/>
        <v>553.26</v>
      </c>
      <c r="J128" s="18">
        <f t="shared" si="10"/>
        <v>7.9037142857142847E-3</v>
      </c>
      <c r="K128" s="14"/>
      <c r="L128" s="14"/>
      <c r="M128" s="14"/>
      <c r="N128" s="14"/>
    </row>
    <row r="129" spans="2:14" ht="38.1" customHeight="1">
      <c r="B129" s="10" t="str">
        <f>Tarifas!B17</f>
        <v>WABA-AM (Aguadilla)</v>
      </c>
      <c r="C129" s="10" t="str">
        <f>Tarifas!C17</f>
        <v>ROS 7 a. m.–5 p. m.</v>
      </c>
      <c r="D129" s="36">
        <f>Tarifas!E17</f>
        <v>28.52</v>
      </c>
      <c r="E129" s="37">
        <f>E97/$D$97</f>
        <v>4.6982380179205006</v>
      </c>
      <c r="F129" s="37">
        <f>F97/$D$97</f>
        <v>5.6378916350953157</v>
      </c>
      <c r="G129" s="37">
        <f>G97/$D$97</f>
        <v>4.6982380179205006</v>
      </c>
      <c r="H129" s="37">
        <f t="shared" si="8"/>
        <v>15.034367670936318</v>
      </c>
      <c r="I129" s="11">
        <f t="shared" si="9"/>
        <v>428.78</v>
      </c>
      <c r="J129" s="13">
        <f t="shared" si="10"/>
        <v>6.1254285714285707E-3</v>
      </c>
      <c r="K129" s="9"/>
      <c r="L129" s="9"/>
      <c r="M129" s="9"/>
      <c r="N129" s="9"/>
    </row>
    <row r="130" spans="2:14" ht="38.1" customHeight="1">
      <c r="B130" s="15" t="str">
        <f>Tarifas!B18</f>
        <v>WHOY-AM (Salinas)</v>
      </c>
      <c r="C130" s="15" t="str">
        <f>Tarifas!C18</f>
        <v>ROS 7 a. m.–5 p. m.</v>
      </c>
      <c r="D130" s="38">
        <f>Tarifas!E18</f>
        <v>28.52</v>
      </c>
      <c r="E130" s="39">
        <f>E97/$D$97</f>
        <v>4.6982380179205006</v>
      </c>
      <c r="F130" s="39">
        <f>F97/$D$97</f>
        <v>5.6378916350953157</v>
      </c>
      <c r="G130" s="39">
        <f>G97/$D$97</f>
        <v>4.6982380179205006</v>
      </c>
      <c r="H130" s="39">
        <f t="shared" si="8"/>
        <v>15.034367670936318</v>
      </c>
      <c r="I130" s="16">
        <f t="shared" si="9"/>
        <v>428.78</v>
      </c>
      <c r="J130" s="18">
        <f t="shared" si="10"/>
        <v>6.1254285714285707E-3</v>
      </c>
      <c r="K130" s="14"/>
      <c r="L130" s="14"/>
      <c r="M130" s="14"/>
      <c r="N130" s="14"/>
    </row>
    <row r="131" spans="2:14" ht="38.1" customHeight="1">
      <c r="B131" s="10" t="str">
        <f>Tarifas!B19</f>
        <v>WGDL-AM/FM (Lares/Aguadilla)</v>
      </c>
      <c r="C131" s="10" t="str">
        <f>Tarifas!C19</f>
        <v>ROS 7 a. m.–5 p. m.</v>
      </c>
      <c r="D131" s="36">
        <f>Tarifas!E19</f>
        <v>45.08</v>
      </c>
      <c r="E131" s="37">
        <f>E97/$D$97</f>
        <v>4.6982380179205006</v>
      </c>
      <c r="F131" s="37">
        <f>F97/$D$97</f>
        <v>5.6378916350953157</v>
      </c>
      <c r="G131" s="37">
        <f>G97/$D$97</f>
        <v>4.6982380179205006</v>
      </c>
      <c r="H131" s="37">
        <f t="shared" si="8"/>
        <v>15.034367670936318</v>
      </c>
      <c r="I131" s="11">
        <f t="shared" si="9"/>
        <v>677.75</v>
      </c>
      <c r="J131" s="13">
        <f t="shared" si="10"/>
        <v>9.6821428571428579E-3</v>
      </c>
      <c r="K131" s="9"/>
      <c r="L131" s="9"/>
      <c r="M131" s="9"/>
      <c r="N131" s="9"/>
    </row>
    <row r="132" spans="2:14" ht="38.1" customHeight="1">
      <c r="B132" s="15" t="str">
        <f>Tarifas!B20</f>
        <v>WPRA-AM (Mayaguez)</v>
      </c>
      <c r="C132" s="15" t="str">
        <f>Tarifas!C20</f>
        <v>ROS 7 a. m.–5 p. m.</v>
      </c>
      <c r="D132" s="38">
        <f>Tarifas!E20</f>
        <v>28.52</v>
      </c>
      <c r="E132" s="39">
        <f>E97/$D$97</f>
        <v>4.6982380179205006</v>
      </c>
      <c r="F132" s="39">
        <f>F97/$D$97</f>
        <v>5.6378916350953157</v>
      </c>
      <c r="G132" s="39">
        <f>G97/$D$97</f>
        <v>4.6982380179205006</v>
      </c>
      <c r="H132" s="39">
        <f t="shared" si="8"/>
        <v>15.034367670936318</v>
      </c>
      <c r="I132" s="16">
        <f t="shared" si="9"/>
        <v>428.78</v>
      </c>
      <c r="J132" s="18">
        <f t="shared" si="10"/>
        <v>6.1254285714285707E-3</v>
      </c>
      <c r="K132" s="14"/>
      <c r="L132" s="14"/>
      <c r="M132" s="14"/>
      <c r="N132" s="14"/>
    </row>
    <row r="133" spans="2:14" ht="38.1" customHeight="1">
      <c r="B133" s="10" t="str">
        <f>Tarifas!B21</f>
        <v>WISA-AM (Isabela)</v>
      </c>
      <c r="C133" s="10" t="str">
        <f>Tarifas!C21</f>
        <v>ROS 7 a. m.–5 p. m.</v>
      </c>
      <c r="D133" s="36">
        <f>Tarifas!E21</f>
        <v>28.52</v>
      </c>
      <c r="E133" s="37">
        <f>E97/$D$97</f>
        <v>4.6982380179205006</v>
      </c>
      <c r="F133" s="37">
        <f>F97/$D$97</f>
        <v>5.6378916350953157</v>
      </c>
      <c r="G133" s="37">
        <f>G97/$D$97</f>
        <v>4.6982380179205006</v>
      </c>
      <c r="H133" s="37">
        <f t="shared" si="8"/>
        <v>15.034367670936318</v>
      </c>
      <c r="I133" s="11">
        <f t="shared" si="9"/>
        <v>428.78</v>
      </c>
      <c r="J133" s="13">
        <f t="shared" si="10"/>
        <v>6.1254285714285707E-3</v>
      </c>
      <c r="K133" s="9"/>
      <c r="L133" s="9"/>
      <c r="M133" s="9"/>
      <c r="N133" s="9"/>
    </row>
    <row r="134" spans="2:14" ht="38.1" customHeight="1">
      <c r="B134" s="15" t="str">
        <f>Tarifas!B22</f>
        <v xml:space="preserve">Auspicios: $1,075,000 pendientes de con con el RFP. No están sumados al escenario de $3,763,000. </v>
      </c>
      <c r="C134" s="15" t="str">
        <f>Tarifas!C22</f>
        <v>ROS 7 a. m.–5 p. m.</v>
      </c>
      <c r="D134" s="38">
        <f>Tarifas!E22</f>
        <v>28.52</v>
      </c>
      <c r="E134" s="39">
        <f>E97/$D$97</f>
        <v>4.6982380179205006</v>
      </c>
      <c r="F134" s="39">
        <f>F97/$D$97</f>
        <v>5.6378916350953157</v>
      </c>
      <c r="G134" s="39">
        <f>G97/$D$97</f>
        <v>4.6982380179205006</v>
      </c>
      <c r="H134" s="39">
        <f t="shared" si="8"/>
        <v>15.034367670936318</v>
      </c>
      <c r="I134" s="16">
        <f t="shared" si="9"/>
        <v>428.78</v>
      </c>
      <c r="J134" s="18">
        <f t="shared" si="10"/>
        <v>6.1254285714285707E-3</v>
      </c>
      <c r="K134" s="14"/>
      <c r="L134" s="14"/>
      <c r="M134" s="14"/>
      <c r="N134" s="14"/>
    </row>
    <row r="135" spans="2:14" ht="38.1" customHeight="1">
      <c r="B135" s="10" t="str">
        <f>Tarifas!B23</f>
        <v>WCPR-AM (Coamo)</v>
      </c>
      <c r="C135" s="10" t="str">
        <f>Tarifas!C23</f>
        <v>ROS 7 a. m.–5 p. m.</v>
      </c>
      <c r="D135" s="36">
        <f>Tarifas!E23</f>
        <v>28.52</v>
      </c>
      <c r="E135" s="37">
        <f>E97/$D$97</f>
        <v>4.6982380179205006</v>
      </c>
      <c r="F135" s="37">
        <f>F97/$D$97</f>
        <v>5.6378916350953157</v>
      </c>
      <c r="G135" s="37">
        <f>G97/$D$97</f>
        <v>4.6982380179205006</v>
      </c>
      <c r="H135" s="37">
        <f t="shared" si="8"/>
        <v>15.034367670936318</v>
      </c>
      <c r="I135" s="11">
        <f t="shared" si="9"/>
        <v>428.78</v>
      </c>
      <c r="J135" s="13">
        <f t="shared" si="10"/>
        <v>6.1254285714285707E-3</v>
      </c>
      <c r="K135" s="9"/>
      <c r="L135" s="9"/>
      <c r="M135" s="9"/>
      <c r="N135" s="9"/>
    </row>
    <row r="136" spans="2:14" ht="38.1" customHeight="1">
      <c r="B136" s="15" t="str">
        <f>Tarifas!B24</f>
        <v>WLPR-AM (SanSebastian)</v>
      </c>
      <c r="C136" s="15" t="str">
        <f>Tarifas!C24</f>
        <v>ROS 7 a. m.–5 p. m.</v>
      </c>
      <c r="D136" s="38">
        <f>Tarifas!E24</f>
        <v>28.52</v>
      </c>
      <c r="E136" s="39">
        <f>E97/$D$97</f>
        <v>4.6982380179205006</v>
      </c>
      <c r="F136" s="39">
        <f>F97/$D$97</f>
        <v>5.6378916350953157</v>
      </c>
      <c r="G136" s="39">
        <f>G97/$D$97</f>
        <v>4.6982380179205006</v>
      </c>
      <c r="H136" s="39">
        <f t="shared" si="8"/>
        <v>15.034367670936318</v>
      </c>
      <c r="I136" s="16">
        <f t="shared" si="9"/>
        <v>428.78</v>
      </c>
      <c r="J136" s="18">
        <f t="shared" si="10"/>
        <v>6.1254285714285707E-3</v>
      </c>
      <c r="K136" s="14"/>
      <c r="L136" s="14"/>
      <c r="M136" s="14"/>
      <c r="N136" s="14"/>
    </row>
    <row r="137" spans="2:14" ht="38.1" customHeight="1">
      <c r="B137" s="10" t="str">
        <f>Tarifas!B25</f>
        <v xml:space="preserve">Entregas estimadas con tarifas de referencia. </v>
      </c>
      <c r="C137" s="10" t="str">
        <f>Tarifas!C25</f>
        <v>ROS 7 a. m.–5 p. m.</v>
      </c>
      <c r="D137" s="36">
        <f>Tarifas!E25</f>
        <v>28.52</v>
      </c>
      <c r="E137" s="37">
        <f>E97/$D$97</f>
        <v>4.6982380179205006</v>
      </c>
      <c r="F137" s="37">
        <f>F97/$D$97</f>
        <v>5.6378916350953157</v>
      </c>
      <c r="G137" s="37">
        <f>G97/$D$97</f>
        <v>4.6982380179205006</v>
      </c>
      <c r="H137" s="37">
        <f t="shared" si="8"/>
        <v>15.034367670936318</v>
      </c>
      <c r="I137" s="11">
        <f t="shared" si="9"/>
        <v>428.78</v>
      </c>
      <c r="J137" s="13">
        <f t="shared" si="10"/>
        <v>6.1254285714285707E-3</v>
      </c>
      <c r="K137" s="9"/>
      <c r="L137" s="9"/>
      <c r="M137" s="9"/>
      <c r="N137" s="9"/>
    </row>
    <row r="138" spans="2:14" ht="38.1" customHeight="1">
      <c r="B138" s="15" t="str">
        <f>Tarifas!B26</f>
        <v>WENA-AM (Yauco)</v>
      </c>
      <c r="C138" s="15" t="str">
        <f>Tarifas!C26</f>
        <v>ROS 7 a. m.–5 p. m.</v>
      </c>
      <c r="D138" s="38">
        <f>Tarifas!E26</f>
        <v>28.52</v>
      </c>
      <c r="E138" s="39">
        <f>E97/$D$97</f>
        <v>4.6982380179205006</v>
      </c>
      <c r="F138" s="39">
        <f>F97/$D$97</f>
        <v>5.6378916350953157</v>
      </c>
      <c r="G138" s="39">
        <f>G97/$D$97</f>
        <v>4.6982380179205006</v>
      </c>
      <c r="H138" s="39">
        <f t="shared" si="8"/>
        <v>15.034367670936318</v>
      </c>
      <c r="I138" s="16">
        <f t="shared" si="9"/>
        <v>428.78</v>
      </c>
      <c r="J138" s="18">
        <f t="shared" si="10"/>
        <v>6.1254285714285707E-3</v>
      </c>
      <c r="K138" s="14"/>
      <c r="L138" s="14"/>
      <c r="M138" s="14"/>
      <c r="N138" s="14"/>
    </row>
    <row r="139" spans="2:14" ht="38.1" customHeight="1">
      <c r="B139" s="10" t="str">
        <f>Tarifas!B27</f>
        <v>SuperK 106Fm (Arecibo)</v>
      </c>
      <c r="C139" s="10" t="str">
        <f>Tarifas!C27</f>
        <v>ROS 7 a. m.–5 p. m.</v>
      </c>
      <c r="D139" s="36">
        <f>Tarifas!E27</f>
        <v>69</v>
      </c>
      <c r="E139" s="37">
        <f>E97/$D$97</f>
        <v>4.6982380179205006</v>
      </c>
      <c r="F139" s="37">
        <f>F97/$D$97</f>
        <v>5.6378916350953157</v>
      </c>
      <c r="G139" s="37">
        <f>G97/$D$97</f>
        <v>4.6982380179205006</v>
      </c>
      <c r="H139" s="37">
        <f t="shared" si="8"/>
        <v>15.034367670936318</v>
      </c>
      <c r="I139" s="11">
        <f t="shared" si="9"/>
        <v>1037.3699999999999</v>
      </c>
      <c r="J139" s="13">
        <f t="shared" si="10"/>
        <v>1.4819571428571427E-2</v>
      </c>
      <c r="K139" s="9"/>
      <c r="L139" s="9"/>
      <c r="M139" s="9"/>
      <c r="N139" s="9"/>
    </row>
    <row r="140" spans="2:14" ht="38.1" customHeight="1">
      <c r="B140" s="15" t="str">
        <f>Tarifas!B28</f>
        <v>Radio Grito (Lares)-Hora del Grito 12md</v>
      </c>
      <c r="C140" s="15" t="s">
        <v>99</v>
      </c>
      <c r="D140" s="38">
        <f>Tarifas!E28</f>
        <v>27.6</v>
      </c>
      <c r="E140" s="39">
        <f>E97/$D$97</f>
        <v>4.6982380179205006</v>
      </c>
      <c r="F140" s="39">
        <f>F97/$D$97</f>
        <v>5.6378916350953157</v>
      </c>
      <c r="G140" s="39">
        <f>G97/$D$97</f>
        <v>4.6982380179205006</v>
      </c>
      <c r="H140" s="39">
        <f t="shared" si="8"/>
        <v>15.034367670936318</v>
      </c>
      <c r="I140" s="16">
        <f t="shared" si="9"/>
        <v>414.95</v>
      </c>
      <c r="J140" s="18">
        <f t="shared" si="10"/>
        <v>5.9278571428571427E-3</v>
      </c>
      <c r="K140" s="14"/>
      <c r="L140" s="14"/>
      <c r="M140" s="14"/>
      <c r="N140" s="14"/>
    </row>
    <row r="141" spans="2:14" ht="38.1" customHeight="1">
      <c r="B141" s="10" t="str">
        <f>Tarifas!B29</f>
        <v>NotiUno (NORTE)-La Hornilla &amp; John Alma-Spots</v>
      </c>
      <c r="C141" s="10" t="s">
        <v>100</v>
      </c>
      <c r="D141" s="36">
        <f>Tarifas!E29</f>
        <v>50.6</v>
      </c>
      <c r="E141" s="37">
        <f>E97/$D$97</f>
        <v>4.6982380179205006</v>
      </c>
      <c r="F141" s="37">
        <f>F97/$D$97</f>
        <v>5.6378916350953157</v>
      </c>
      <c r="G141" s="37">
        <f>G97/$D$97</f>
        <v>4.6982380179205006</v>
      </c>
      <c r="H141" s="37">
        <f t="shared" si="8"/>
        <v>15.034367670936318</v>
      </c>
      <c r="I141" s="11">
        <f t="shared" si="9"/>
        <v>760.74</v>
      </c>
      <c r="J141" s="13">
        <f t="shared" si="10"/>
        <v>1.0867714285714286E-2</v>
      </c>
      <c r="K141" s="9"/>
      <c r="L141" s="9"/>
      <c r="M141" s="9"/>
      <c r="N141" s="9"/>
    </row>
    <row r="142" spans="2:14" ht="38.1" customHeight="1">
      <c r="B142" s="15" t="str">
        <f>Tarifas!B30</f>
        <v>NotiUno (SUR-Ponce) ROS</v>
      </c>
      <c r="C142" s="15" t="str">
        <f>Tarifas!C30</f>
        <v>ROS 7 a. m.–5 p. m.</v>
      </c>
      <c r="D142" s="38">
        <f>Tarifas!E30</f>
        <v>50.6</v>
      </c>
      <c r="E142" s="39">
        <f>E97/$D$97</f>
        <v>4.6982380179205006</v>
      </c>
      <c r="F142" s="39">
        <f>F97/$D$97</f>
        <v>5.6378916350953157</v>
      </c>
      <c r="G142" s="39">
        <f>G97/$D$97</f>
        <v>4.6982380179205006</v>
      </c>
      <c r="H142" s="39">
        <f t="shared" si="8"/>
        <v>15.034367670936318</v>
      </c>
      <c r="I142" s="16">
        <f>ROUND(I97-SUM(I125:I141),2)</f>
        <v>760.75</v>
      </c>
      <c r="J142" s="18">
        <f t="shared" si="10"/>
        <v>1.0867857142857143E-2</v>
      </c>
      <c r="K142" s="14"/>
      <c r="L142" s="14"/>
      <c r="M142" s="14"/>
      <c r="N142" s="14"/>
    </row>
    <row r="143" spans="2:14" ht="30" customHeight="1">
      <c r="B143" s="19" t="s">
        <v>101</v>
      </c>
      <c r="C143" s="19"/>
      <c r="D143" s="19"/>
      <c r="E143" s="19"/>
      <c r="F143" s="19"/>
      <c r="G143" s="19"/>
      <c r="H143" s="19"/>
      <c r="I143" s="20">
        <f>SUM(I125:I142)</f>
        <v>10000.259999999998</v>
      </c>
      <c r="J143" s="19"/>
      <c r="K143" s="19"/>
      <c r="L143" s="19"/>
      <c r="M143" s="19"/>
      <c r="N143" s="19"/>
    </row>
    <row r="144" spans="2:14" ht="24.95" customHeight="1">
      <c r="B144" s="47" t="s">
        <v>42</v>
      </c>
      <c r="C144" s="47"/>
      <c r="D144" s="47"/>
      <c r="E144" s="47"/>
      <c r="F144" s="47"/>
      <c r="G144" s="47"/>
      <c r="H144" s="47"/>
      <c r="I144" s="47"/>
      <c r="J144" s="47"/>
      <c r="K144" s="47"/>
      <c r="L144" s="47"/>
      <c r="M144" s="47"/>
      <c r="N144" s="47"/>
    </row>
    <row r="145" spans="2:14" ht="38.1" customHeight="1">
      <c r="B145" s="10" t="str">
        <f>Tarifas!B31</f>
        <v>Planet</v>
      </c>
      <c r="C145" s="10" t="str">
        <f>Tarifas!C31</f>
        <v>10 puntos × 5 días</v>
      </c>
      <c r="D145" s="36">
        <f>Tarifas!E31</f>
        <v>5980</v>
      </c>
      <c r="E145" s="37">
        <f>E98/$D$98</f>
        <v>0.18792946184250531</v>
      </c>
      <c r="F145" s="37">
        <f>F98/$D$98</f>
        <v>0.18792946184250531</v>
      </c>
      <c r="G145" s="37">
        <f>G98/$D$98</f>
        <v>0.18792946184250531</v>
      </c>
      <c r="H145" s="37">
        <f>SUM(E145:G145)</f>
        <v>0.56378838552751587</v>
      </c>
      <c r="I145" s="11">
        <f>ROUND(H145*D145,2)</f>
        <v>3371.45</v>
      </c>
      <c r="J145" s="13">
        <f>I145/$C$93</f>
        <v>4.8163571428571424E-2</v>
      </c>
      <c r="K145" s="9"/>
      <c r="L145" s="9"/>
      <c r="M145" s="9"/>
      <c r="N145" s="9"/>
    </row>
    <row r="146" spans="2:14" ht="38.1" customHeight="1">
      <c r="B146" s="15" t="str">
        <f>Tarifas!B32</f>
        <v>BMedia</v>
      </c>
      <c r="C146" s="15" t="str">
        <f>Tarifas!C32</f>
        <v>7 puntos × 5 días</v>
      </c>
      <c r="D146" s="38">
        <f>Tarifas!E32</f>
        <v>4025</v>
      </c>
      <c r="E146" s="39">
        <f>E98/$D$98</f>
        <v>0.18792946184250531</v>
      </c>
      <c r="F146" s="39">
        <f>F98/$D$98</f>
        <v>0.18792946184250531</v>
      </c>
      <c r="G146" s="39">
        <f>G98/$D$98</f>
        <v>0.18792946184250531</v>
      </c>
      <c r="H146" s="39">
        <f>SUM(E146:G146)</f>
        <v>0.56378838552751587</v>
      </c>
      <c r="I146" s="16">
        <f>ROUND(H146*D146,2)</f>
        <v>2269.25</v>
      </c>
      <c r="J146" s="18">
        <f>I146/$C$93</f>
        <v>3.2417857142857144E-2</v>
      </c>
      <c r="K146" s="14"/>
      <c r="L146" s="14"/>
      <c r="M146" s="14"/>
      <c r="N146" s="14"/>
    </row>
    <row r="147" spans="2:14" ht="38.1" customHeight="1">
      <c r="B147" s="10" t="s">
        <v>122</v>
      </c>
      <c r="C147" s="10" t="str">
        <f>Tarifas!C33</f>
        <v>5 puntos × 5 días</v>
      </c>
      <c r="D147" s="36">
        <f>Tarifas!E33</f>
        <v>2300</v>
      </c>
      <c r="E147" s="37">
        <f>E98/$D$98</f>
        <v>0.18792946184250531</v>
      </c>
      <c r="F147" s="37">
        <f>F98/$D$98</f>
        <v>0.18792946184250531</v>
      </c>
      <c r="G147" s="37">
        <f>G98/$D$98</f>
        <v>0.18792946184250531</v>
      </c>
      <c r="H147" s="37">
        <f>SUM(E147:G147)</f>
        <v>0.56378838552751587</v>
      </c>
      <c r="I147" s="11">
        <f>ROUND(H147*D147,2)</f>
        <v>1296.71</v>
      </c>
      <c r="J147" s="13">
        <f>I147/$C$93</f>
        <v>1.8524428571428574E-2</v>
      </c>
      <c r="K147" s="9"/>
      <c r="L147" s="9"/>
      <c r="M147" s="9"/>
      <c r="N147" s="9"/>
    </row>
    <row r="148" spans="2:14" ht="38.1" customHeight="1">
      <c r="B148" s="15" t="str">
        <f>Tarifas!B34</f>
        <v>Yes</v>
      </c>
      <c r="C148" s="15" t="str">
        <f>Tarifas!C34</f>
        <v>6 puntos × 5 días</v>
      </c>
      <c r="D148" s="38">
        <f>Tarifas!E34</f>
        <v>4140</v>
      </c>
      <c r="E148" s="39">
        <f>E98/$D$98</f>
        <v>0.18792946184250531</v>
      </c>
      <c r="F148" s="39">
        <f>F98/$D$98</f>
        <v>0.18792946184250531</v>
      </c>
      <c r="G148" s="39">
        <f>G98/$D$98</f>
        <v>0.18792946184250531</v>
      </c>
      <c r="H148" s="39">
        <f>SUM(E148:G148)</f>
        <v>0.56378838552751587</v>
      </c>
      <c r="I148" s="16">
        <f>ROUND(I98-SUM(I145:I147),2)</f>
        <v>2334.09</v>
      </c>
      <c r="J148" s="18">
        <f>I148/$C$93</f>
        <v>3.3344142857142857E-2</v>
      </c>
      <c r="K148" s="14"/>
      <c r="L148" s="14"/>
      <c r="M148" s="14"/>
      <c r="N148" s="14"/>
    </row>
    <row r="149" spans="2:14" ht="30" customHeight="1">
      <c r="B149" s="19" t="s">
        <v>123</v>
      </c>
      <c r="C149" s="19"/>
      <c r="D149" s="19"/>
      <c r="E149" s="19"/>
      <c r="F149" s="19"/>
      <c r="G149" s="19"/>
      <c r="H149" s="19"/>
      <c r="I149" s="20">
        <f>SUM(I145:I148)</f>
        <v>9271.5</v>
      </c>
      <c r="J149" s="19"/>
      <c r="K149" s="19"/>
      <c r="L149" s="19"/>
      <c r="M149" s="19"/>
      <c r="N149" s="19"/>
    </row>
    <row r="150" spans="2:14" ht="27.95" customHeight="1">
      <c r="B150" s="45" t="s">
        <v>124</v>
      </c>
      <c r="C150" s="45"/>
      <c r="D150" s="45"/>
      <c r="E150" s="45"/>
      <c r="F150" s="45"/>
      <c r="G150" s="45"/>
      <c r="H150" s="45"/>
      <c r="I150" s="45"/>
      <c r="J150" s="45"/>
      <c r="K150" s="45"/>
      <c r="L150" s="45"/>
      <c r="M150" s="45"/>
      <c r="N150" s="45"/>
    </row>
    <row r="151" spans="2:14" ht="24.95" customHeight="1">
      <c r="B151" s="47" t="s">
        <v>43</v>
      </c>
      <c r="C151" s="47"/>
      <c r="D151" s="47"/>
      <c r="E151" s="47"/>
      <c r="F151" s="47"/>
      <c r="G151" s="47"/>
      <c r="H151" s="47"/>
      <c r="I151" s="47"/>
      <c r="J151" s="47"/>
      <c r="K151" s="47"/>
      <c r="L151" s="47"/>
      <c r="M151" s="47"/>
      <c r="N151" s="47"/>
    </row>
    <row r="152" spans="2:14" ht="38.1" customHeight="1">
      <c r="B152" s="10" t="str">
        <f>Tarifas!B35</f>
        <v>Meta</v>
      </c>
      <c r="C152" s="10" t="str">
        <f>Tarifas!C35</f>
        <v>Video / Reels / Stories</v>
      </c>
      <c r="D152" s="36">
        <f>Tarifas!E35</f>
        <v>8.625</v>
      </c>
      <c r="E152" s="40">
        <f>ROUNDDOWN(E99/$D152*1000,0)</f>
        <v>581100</v>
      </c>
      <c r="F152" s="40">
        <f>ROUNDDOWN(F99/$D152*1000,0)</f>
        <v>979113</v>
      </c>
      <c r="G152" s="40">
        <f>ROUNDDOWN(G99/$D152*1000,0)</f>
        <v>690788</v>
      </c>
      <c r="H152" s="40">
        <f>SUM(E152:G152)</f>
        <v>2251001</v>
      </c>
      <c r="I152" s="11">
        <f>I99</f>
        <v>19414.89</v>
      </c>
      <c r="J152" s="13">
        <f>I152/$C$93</f>
        <v>0.27735557142857142</v>
      </c>
      <c r="K152" s="9"/>
      <c r="L152" s="9"/>
      <c r="M152" s="9"/>
      <c r="N152" s="9"/>
    </row>
    <row r="153" spans="2:14" ht="30" customHeight="1">
      <c r="B153" s="19" t="s">
        <v>102</v>
      </c>
      <c r="C153" s="19"/>
      <c r="D153" s="19"/>
      <c r="E153" s="19"/>
      <c r="F153" s="19"/>
      <c r="G153" s="19"/>
      <c r="H153" s="19"/>
      <c r="I153" s="20">
        <f>SUM(I152:I152)</f>
        <v>19414.89</v>
      </c>
      <c r="J153" s="19"/>
      <c r="K153" s="19"/>
      <c r="L153" s="19"/>
      <c r="M153" s="19"/>
      <c r="N153" s="19"/>
    </row>
    <row r="154" spans="2:14" ht="24.95" customHeight="1">
      <c r="B154" s="47" t="s">
        <v>44</v>
      </c>
      <c r="C154" s="47"/>
      <c r="D154" s="47"/>
      <c r="E154" s="47"/>
      <c r="F154" s="47"/>
      <c r="G154" s="47"/>
      <c r="H154" s="47"/>
      <c r="I154" s="47"/>
      <c r="J154" s="47"/>
      <c r="K154" s="47"/>
      <c r="L154" s="47"/>
      <c r="M154" s="47"/>
      <c r="N154" s="47"/>
    </row>
    <row r="155" spans="2:14" ht="38.1" customHeight="1">
      <c r="B155" s="10" t="str">
        <f>Tarifas!B36</f>
        <v>YouTube</v>
      </c>
      <c r="C155" s="10" t="str">
        <f>Tarifas!C36</f>
        <v>Video 15–30 s</v>
      </c>
      <c r="D155" s="36">
        <f>Tarifas!E36</f>
        <v>6.9</v>
      </c>
      <c r="E155" s="40">
        <f>ROUNDDOWN(E100/$D155*1000,0)</f>
        <v>456521</v>
      </c>
      <c r="F155" s="40">
        <f>ROUNDDOWN(F100/$D155*1000,0)</f>
        <v>608695</v>
      </c>
      <c r="G155" s="40">
        <f>ROUNDDOWN(G100/$D155*1000,0)</f>
        <v>456521</v>
      </c>
      <c r="H155" s="40">
        <f>SUM(E155:G155)</f>
        <v>1521737</v>
      </c>
      <c r="I155" s="11">
        <f>I100</f>
        <v>10500</v>
      </c>
      <c r="J155" s="13">
        <f>I155/$C$93</f>
        <v>0.15</v>
      </c>
      <c r="K155" s="9"/>
      <c r="L155" s="9"/>
      <c r="M155" s="9"/>
      <c r="N155" s="9"/>
    </row>
    <row r="156" spans="2:14" ht="30" customHeight="1">
      <c r="B156" s="19" t="s">
        <v>103</v>
      </c>
      <c r="C156" s="19"/>
      <c r="D156" s="19"/>
      <c r="E156" s="19"/>
      <c r="F156" s="19"/>
      <c r="G156" s="19"/>
      <c r="H156" s="19"/>
      <c r="I156" s="20">
        <f>SUM(I155:I155)</f>
        <v>10500</v>
      </c>
      <c r="J156" s="19"/>
      <c r="K156" s="19"/>
      <c r="L156" s="19"/>
      <c r="M156" s="19"/>
      <c r="N156" s="19"/>
    </row>
  </sheetData>
  <mergeCells count="31">
    <mergeCell ref="B2:O2"/>
    <mergeCell ref="B4:O4"/>
    <mergeCell ref="B8:O8"/>
    <mergeCell ref="B17:N17"/>
    <mergeCell ref="B18:N18"/>
    <mergeCell ref="B19:N19"/>
    <mergeCell ref="B20:N20"/>
    <mergeCell ref="B31:N31"/>
    <mergeCell ref="B32:N32"/>
    <mergeCell ref="B34:N34"/>
    <mergeCell ref="B89:N89"/>
    <mergeCell ref="B79:N79"/>
    <mergeCell ref="B82:N82"/>
    <mergeCell ref="B42:N42"/>
    <mergeCell ref="B44:N44"/>
    <mergeCell ref="B52:N52"/>
    <mergeCell ref="B72:N72"/>
    <mergeCell ref="B78:N78"/>
    <mergeCell ref="B90:N90"/>
    <mergeCell ref="B91:N91"/>
    <mergeCell ref="B92:N92"/>
    <mergeCell ref="B103:N103"/>
    <mergeCell ref="B104:N104"/>
    <mergeCell ref="B150:N150"/>
    <mergeCell ref="B151:N151"/>
    <mergeCell ref="B154:N154"/>
    <mergeCell ref="B106:N106"/>
    <mergeCell ref="B114:N114"/>
    <mergeCell ref="B116:N116"/>
    <mergeCell ref="B124:N124"/>
    <mergeCell ref="B144:N14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192667"/>
  </sheetPr>
  <dimension ref="A1:O201"/>
  <sheetViews>
    <sheetView showGridLines="0" workbookViewId="0">
      <pane xSplit="2" ySplit="10" topLeftCell="F11" activePane="bottomRight" state="frozen"/>
      <selection pane="bottomRight" activeCell="B24" sqref="B24:N24"/>
      <selection pane="bottomLeft" activeCell="B24" sqref="B24:N24"/>
      <selection pane="topRight" activeCell="B24" sqref="B24:N24"/>
    </sheetView>
  </sheetViews>
  <sheetFormatPr defaultColWidth="8.875" defaultRowHeight="15"/>
  <cols>
    <col min="1" max="1" width="3" style="2" customWidth="1"/>
    <col min="2" max="2" width="32" style="2" customWidth="1"/>
    <col min="3" max="3" width="28" style="2" customWidth="1"/>
    <col min="4" max="4" width="19" style="2" customWidth="1"/>
    <col min="5" max="15" width="16" style="2" customWidth="1"/>
    <col min="16" max="16384" width="8.875" style="2"/>
  </cols>
  <sheetData>
    <row r="1" spans="1:15">
      <c r="A1" s="1"/>
      <c r="B1" s="1"/>
      <c r="C1" s="1"/>
      <c r="D1" s="1"/>
      <c r="E1" s="1"/>
      <c r="F1" s="1"/>
      <c r="G1" s="1"/>
      <c r="H1" s="1"/>
      <c r="I1" s="1"/>
      <c r="J1" s="1"/>
      <c r="K1" s="1"/>
      <c r="L1" s="1"/>
      <c r="M1" s="1"/>
      <c r="N1" s="1"/>
      <c r="O1" s="1"/>
    </row>
    <row r="2" spans="1:15" ht="32.1" customHeight="1">
      <c r="A2" s="1"/>
      <c r="B2" s="46" t="s">
        <v>128</v>
      </c>
      <c r="C2" s="46"/>
      <c r="D2" s="46"/>
      <c r="E2" s="46"/>
      <c r="F2" s="46"/>
      <c r="G2" s="46"/>
      <c r="H2" s="46"/>
      <c r="I2" s="46"/>
      <c r="J2" s="46"/>
      <c r="K2" s="46"/>
      <c r="L2" s="46"/>
      <c r="M2" s="46"/>
      <c r="N2" s="46"/>
      <c r="O2" s="46"/>
    </row>
    <row r="3" spans="1:15" ht="3.95" customHeight="1">
      <c r="A3" s="1"/>
      <c r="B3" s="3"/>
      <c r="C3" s="3"/>
      <c r="D3" s="3"/>
      <c r="E3" s="3"/>
      <c r="F3" s="3"/>
      <c r="G3" s="3"/>
      <c r="H3" s="3"/>
      <c r="I3" s="3"/>
      <c r="J3" s="3"/>
      <c r="K3" s="3"/>
      <c r="L3" s="3"/>
      <c r="M3" s="3"/>
      <c r="N3" s="3"/>
      <c r="O3" s="3"/>
    </row>
    <row r="4" spans="1:15" ht="30" customHeight="1">
      <c r="A4" s="1"/>
      <c r="B4" s="45" t="s">
        <v>1</v>
      </c>
      <c r="C4" s="45"/>
      <c r="D4" s="45"/>
      <c r="E4" s="45"/>
      <c r="F4" s="45"/>
      <c r="G4" s="45"/>
      <c r="H4" s="45"/>
      <c r="I4" s="45"/>
      <c r="J4" s="45"/>
      <c r="K4" s="45"/>
      <c r="L4" s="45"/>
      <c r="M4" s="45"/>
      <c r="N4" s="45"/>
      <c r="O4" s="45"/>
    </row>
    <row r="5" spans="1:15">
      <c r="A5" s="1"/>
      <c r="B5" s="1"/>
      <c r="C5" s="1"/>
      <c r="D5" s="1"/>
      <c r="E5" s="1"/>
      <c r="F5" s="1"/>
      <c r="G5" s="1"/>
      <c r="H5" s="1"/>
      <c r="I5" s="1"/>
      <c r="J5" s="1"/>
      <c r="K5" s="1"/>
      <c r="L5" s="1"/>
      <c r="M5" s="1"/>
      <c r="N5" s="1"/>
      <c r="O5" s="1"/>
    </row>
    <row r="6" spans="1:15" ht="21">
      <c r="A6" s="1"/>
      <c r="B6" s="1" t="s">
        <v>50</v>
      </c>
      <c r="C6" s="32">
        <f>'AGA y criterios'!D12</f>
        <v>625000</v>
      </c>
      <c r="D6" s="1"/>
      <c r="E6" s="1" t="s">
        <v>6</v>
      </c>
      <c r="F6" s="33">
        <f>L14</f>
        <v>625000</v>
      </c>
      <c r="G6" s="1"/>
      <c r="H6" s="1" t="s">
        <v>3</v>
      </c>
      <c r="I6" s="5">
        <f>ROUND(C6-F6,2)</f>
        <v>0</v>
      </c>
      <c r="J6" s="1"/>
      <c r="K6" s="1" t="s">
        <v>51</v>
      </c>
      <c r="L6" s="1"/>
      <c r="M6" s="33">
        <f>'AGA y criterios'!E12</f>
        <v>40000</v>
      </c>
      <c r="N6" s="1"/>
      <c r="O6" s="1"/>
    </row>
    <row r="7" spans="1:15">
      <c r="A7" s="1"/>
      <c r="B7" s="1"/>
      <c r="C7" s="1"/>
      <c r="D7" s="1"/>
      <c r="E7" s="1"/>
      <c r="F7" s="1"/>
      <c r="G7" s="1"/>
      <c r="H7" s="1"/>
      <c r="I7" s="1"/>
      <c r="J7" s="1"/>
      <c r="K7" s="1"/>
      <c r="L7" s="1"/>
      <c r="M7" s="1"/>
      <c r="N7" s="1"/>
      <c r="O7" s="1"/>
    </row>
    <row r="8" spans="1:15" ht="30" customHeight="1">
      <c r="A8" s="1"/>
      <c r="B8" s="45" t="s">
        <v>52</v>
      </c>
      <c r="C8" s="45"/>
      <c r="D8" s="45"/>
      <c r="E8" s="45"/>
      <c r="F8" s="45"/>
      <c r="G8" s="45"/>
      <c r="H8" s="45"/>
      <c r="I8" s="45"/>
      <c r="J8" s="45"/>
      <c r="K8" s="45"/>
      <c r="L8" s="45"/>
      <c r="M8" s="45"/>
      <c r="N8" s="45"/>
      <c r="O8" s="45"/>
    </row>
    <row r="10" spans="1:15" ht="42" customHeight="1">
      <c r="B10" s="6" t="s">
        <v>53</v>
      </c>
      <c r="C10" s="7" t="s">
        <v>54</v>
      </c>
      <c r="D10" s="7" t="s">
        <v>8</v>
      </c>
      <c r="E10" s="7" t="s">
        <v>9</v>
      </c>
      <c r="F10" s="7" t="s">
        <v>10</v>
      </c>
      <c r="G10" s="7" t="s">
        <v>43</v>
      </c>
      <c r="H10" s="7" t="s">
        <v>44</v>
      </c>
      <c r="I10" s="7" t="s">
        <v>45</v>
      </c>
      <c r="J10" s="7" t="s">
        <v>46</v>
      </c>
      <c r="K10" s="7" t="s">
        <v>12</v>
      </c>
      <c r="L10" s="7" t="s">
        <v>55</v>
      </c>
      <c r="M10" s="7" t="s">
        <v>3</v>
      </c>
      <c r="N10" s="8" t="s">
        <v>56</v>
      </c>
    </row>
    <row r="11" spans="1:15" ht="30.95" customHeight="1">
      <c r="B11" s="10" t="s">
        <v>129</v>
      </c>
      <c r="C11" s="11">
        <f>'AGA y criterios'!D30</f>
        <v>375000</v>
      </c>
      <c r="D11" s="11">
        <f>I25</f>
        <v>144805.24</v>
      </c>
      <c r="E11" s="11">
        <f>I26</f>
        <v>53572.81</v>
      </c>
      <c r="F11" s="11">
        <v>0</v>
      </c>
      <c r="G11" s="11">
        <f>I27</f>
        <v>120371.95000000001</v>
      </c>
      <c r="H11" s="11">
        <f>I28</f>
        <v>56250</v>
      </c>
      <c r="I11" s="11">
        <v>0</v>
      </c>
      <c r="J11" s="11">
        <v>0</v>
      </c>
      <c r="K11" s="11">
        <v>0</v>
      </c>
      <c r="L11" s="11">
        <f>I29</f>
        <v>375000</v>
      </c>
      <c r="M11" s="11">
        <f>ROUND(C11-L11,2)</f>
        <v>0</v>
      </c>
      <c r="N11" s="13">
        <f>L11/$C$6</f>
        <v>0.6</v>
      </c>
    </row>
    <row r="12" spans="1:15" ht="30.95" customHeight="1">
      <c r="B12" s="15" t="s">
        <v>130</v>
      </c>
      <c r="C12" s="16">
        <f>'AGA y criterios'!D31</f>
        <v>125000</v>
      </c>
      <c r="D12" s="16">
        <f>H94</f>
        <v>35139.4</v>
      </c>
      <c r="E12" s="16">
        <v>0</v>
      </c>
      <c r="F12" s="16">
        <v>0</v>
      </c>
      <c r="G12" s="16">
        <f>H95</f>
        <v>40086.120000000003</v>
      </c>
      <c r="H12" s="16">
        <f>H96</f>
        <v>25000</v>
      </c>
      <c r="I12" s="16">
        <f>H97</f>
        <v>6250</v>
      </c>
      <c r="J12" s="16">
        <v>0</v>
      </c>
      <c r="K12" s="16">
        <f>H98</f>
        <v>18524.48</v>
      </c>
      <c r="L12" s="16">
        <f>H99</f>
        <v>125000</v>
      </c>
      <c r="M12" s="16">
        <f>ROUND(C12-L12,2)</f>
        <v>0</v>
      </c>
      <c r="N12" s="18">
        <f>L12/$C$6</f>
        <v>0.2</v>
      </c>
    </row>
    <row r="13" spans="1:15" ht="30.95" customHeight="1">
      <c r="B13" s="10" t="s">
        <v>131</v>
      </c>
      <c r="C13" s="11">
        <f>'AGA y criterios'!D32</f>
        <v>125000</v>
      </c>
      <c r="D13" s="11">
        <f>H153</f>
        <v>35139.409999999996</v>
      </c>
      <c r="E13" s="11">
        <v>0</v>
      </c>
      <c r="F13" s="11">
        <v>0</v>
      </c>
      <c r="G13" s="11">
        <f>H154</f>
        <v>40086.11</v>
      </c>
      <c r="H13" s="11">
        <f>H155</f>
        <v>25000</v>
      </c>
      <c r="I13" s="11">
        <f>H156</f>
        <v>6250</v>
      </c>
      <c r="J13" s="11">
        <v>0</v>
      </c>
      <c r="K13" s="11">
        <f>H157</f>
        <v>18524.48</v>
      </c>
      <c r="L13" s="11">
        <f>H158</f>
        <v>124999.99999999999</v>
      </c>
      <c r="M13" s="11">
        <f>ROUND(C13-L13,2)</f>
        <v>0</v>
      </c>
      <c r="N13" s="13">
        <f>L13/$C$6</f>
        <v>0.19999999999999998</v>
      </c>
    </row>
    <row r="14" spans="1:15" ht="30" customHeight="1">
      <c r="B14" s="34" t="s">
        <v>57</v>
      </c>
      <c r="C14" s="20">
        <f t="shared" ref="C14:N14" si="0">SUM(C11:C13)</f>
        <v>625000</v>
      </c>
      <c r="D14" s="20">
        <f t="shared" si="0"/>
        <v>215084.05</v>
      </c>
      <c r="E14" s="20">
        <f t="shared" si="0"/>
        <v>53572.81</v>
      </c>
      <c r="F14" s="20">
        <f t="shared" si="0"/>
        <v>0</v>
      </c>
      <c r="G14" s="20">
        <f t="shared" si="0"/>
        <v>200544.18</v>
      </c>
      <c r="H14" s="20">
        <f t="shared" si="0"/>
        <v>106250</v>
      </c>
      <c r="I14" s="20">
        <f t="shared" si="0"/>
        <v>12500</v>
      </c>
      <c r="J14" s="20">
        <f t="shared" si="0"/>
        <v>0</v>
      </c>
      <c r="K14" s="20">
        <f t="shared" si="0"/>
        <v>37048.959999999999</v>
      </c>
      <c r="L14" s="20">
        <f t="shared" si="0"/>
        <v>625000</v>
      </c>
      <c r="M14" s="20">
        <f t="shared" si="0"/>
        <v>0</v>
      </c>
      <c r="N14" s="22">
        <f t="shared" si="0"/>
        <v>1</v>
      </c>
    </row>
    <row r="18" spans="2:14" ht="24.95" customHeight="1">
      <c r="B18" s="47" t="s">
        <v>132</v>
      </c>
      <c r="C18" s="47"/>
      <c r="D18" s="47"/>
      <c r="E18" s="47"/>
      <c r="F18" s="47"/>
      <c r="G18" s="47"/>
      <c r="H18" s="47"/>
      <c r="I18" s="47"/>
      <c r="J18" s="47"/>
      <c r="K18" s="47"/>
      <c r="L18" s="47"/>
      <c r="M18" s="47"/>
      <c r="N18" s="47"/>
    </row>
    <row r="19" spans="2:14" ht="32.1" customHeight="1">
      <c r="B19" s="45" t="s">
        <v>58</v>
      </c>
      <c r="C19" s="45"/>
      <c r="D19" s="45"/>
      <c r="E19" s="45"/>
      <c r="F19" s="45"/>
      <c r="G19" s="45"/>
      <c r="H19" s="45"/>
      <c r="I19" s="45"/>
      <c r="J19" s="45"/>
      <c r="K19" s="45"/>
      <c r="L19" s="45"/>
      <c r="M19" s="45"/>
      <c r="N19" s="45"/>
    </row>
    <row r="20" spans="2:14" ht="32.1" customHeight="1">
      <c r="B20" s="45" t="s">
        <v>133</v>
      </c>
      <c r="C20" s="45"/>
      <c r="D20" s="45"/>
      <c r="E20" s="45"/>
      <c r="F20" s="45"/>
      <c r="G20" s="45"/>
      <c r="H20" s="45"/>
      <c r="I20" s="45"/>
      <c r="J20" s="45"/>
      <c r="K20" s="45"/>
      <c r="L20" s="45"/>
      <c r="M20" s="45"/>
      <c r="N20" s="45"/>
    </row>
    <row r="21" spans="2:14" ht="33.950000000000003" customHeight="1">
      <c r="B21" s="45" t="s">
        <v>134</v>
      </c>
      <c r="C21" s="45"/>
      <c r="D21" s="45"/>
      <c r="E21" s="45"/>
      <c r="F21" s="45"/>
      <c r="G21" s="45"/>
      <c r="H21" s="45"/>
      <c r="I21" s="45"/>
      <c r="J21" s="45"/>
      <c r="K21" s="45"/>
      <c r="L21" s="45"/>
      <c r="M21" s="45"/>
      <c r="N21" s="45"/>
    </row>
    <row r="22" spans="2:14">
      <c r="B22" s="2" t="s">
        <v>34</v>
      </c>
      <c r="C22" s="35">
        <f>'AGA y criterios'!D30</f>
        <v>375000</v>
      </c>
    </row>
    <row r="24" spans="2:14" ht="42" customHeight="1">
      <c r="B24" s="6" t="s">
        <v>38</v>
      </c>
      <c r="C24" s="7" t="s">
        <v>63</v>
      </c>
      <c r="D24" s="7" t="s">
        <v>64</v>
      </c>
      <c r="E24" s="7" t="s">
        <v>66</v>
      </c>
      <c r="F24" s="7" t="s">
        <v>118</v>
      </c>
      <c r="G24" s="7" t="s">
        <v>135</v>
      </c>
      <c r="H24" s="7" t="s">
        <v>72</v>
      </c>
      <c r="I24" s="7" t="s">
        <v>2</v>
      </c>
      <c r="J24" s="8" t="s">
        <v>13</v>
      </c>
    </row>
    <row r="25" spans="2:14" ht="30.95" customHeight="1">
      <c r="B25" s="10" t="s">
        <v>37</v>
      </c>
      <c r="C25" s="10" t="s">
        <v>73</v>
      </c>
      <c r="D25" s="36">
        <f>SUM(Tarifas!E7:E12)</f>
        <v>10068.25</v>
      </c>
      <c r="E25" s="11">
        <f>ROUND($C$22*('Base de distribución'!E77/SUM('Base de distribución'!E77,'Base de distribución'!E78,'Base de distribución'!E79,'Base de distribución'!E80,'Base de distribución'!E81,'Base de distribución'!E82,'Base de distribución'!E83,'Base de distribución'!E84,'Base de distribución'!E85,'Base de distribución'!E86,'Base de distribución'!E87,'Base de distribución'!E88)),2)</f>
        <v>34753.26</v>
      </c>
      <c r="F25" s="11">
        <f>ROUND($C$22*('Base de distribución'!E78/SUM('Base de distribución'!E77,'Base de distribución'!E78,'Base de distribución'!E79,'Base de distribución'!E80,'Base de distribución'!E81,'Base de distribución'!E82,'Base de distribución'!E83,'Base de distribución'!E84,'Base de distribución'!E85,'Base de distribución'!E86,'Base de distribución'!E87,'Base de distribución'!E88)),2)</f>
        <v>52129.88</v>
      </c>
      <c r="G25" s="11">
        <f>ROUND($C$22*('Base de distribución'!E79/SUM('Base de distribución'!E77,'Base de distribución'!E78,'Base de distribución'!E79,'Base de distribución'!E80,'Base de distribución'!E81,'Base de distribución'!E82,'Base de distribución'!E83,'Base de distribución'!E84,'Base de distribución'!E85,'Base de distribución'!E86,'Base de distribución'!E87,'Base de distribución'!E88)),2)</f>
        <v>57922.1</v>
      </c>
      <c r="H25" s="37">
        <f>SUM(H44:H49)</f>
        <v>86.29418617932609</v>
      </c>
      <c r="I25" s="11">
        <f>SUM(E25:G25)</f>
        <v>144805.24</v>
      </c>
      <c r="J25" s="13">
        <f>I25/$C$22</f>
        <v>0.38614730666666663</v>
      </c>
      <c r="K25" s="9"/>
      <c r="L25" s="9"/>
      <c r="M25" s="9"/>
      <c r="N25" s="9"/>
    </row>
    <row r="26" spans="2:14" ht="30.95" customHeight="1">
      <c r="B26" s="15" t="s">
        <v>41</v>
      </c>
      <c r="C26" s="15" t="s">
        <v>74</v>
      </c>
      <c r="D26" s="38">
        <f>SUM(Tarifas!E13:E30)</f>
        <v>665.16</v>
      </c>
      <c r="E26" s="16">
        <f>ROUND($C$22*('Base de distribución'!E80/SUM('Base de distribución'!E77,'Base de distribución'!E78,'Base de distribución'!E79,'Base de distribución'!E80,'Base de distribución'!E81,'Base de distribución'!E82,'Base de distribución'!E83,'Base de distribución'!E84,'Base de distribución'!E85,'Base de distribución'!E86,'Base de distribución'!E87,'Base de distribución'!E88)),2)</f>
        <v>11479.89</v>
      </c>
      <c r="F26" s="16">
        <f>ROUND($C$22*('Base de distribución'!E81/SUM('Base de distribución'!E77,'Base de distribución'!E78,'Base de distribución'!E79,'Base de distribución'!E80,'Base de distribución'!E81,'Base de distribución'!E82,'Base de distribución'!E83,'Base de distribución'!E84,'Base de distribución'!E85,'Base de distribución'!E86,'Base de distribución'!E87,'Base de distribución'!E88)),2)</f>
        <v>19133.150000000001</v>
      </c>
      <c r="G26" s="16">
        <f>ROUND($C$22*('Base de distribución'!E82/SUM('Base de distribución'!E77,'Base de distribución'!E78,'Base de distribución'!E79,'Base de distribución'!E80,'Base de distribución'!E81,'Base de distribución'!E82,'Base de distribución'!E83,'Base de distribución'!E84,'Base de distribución'!E85,'Base de distribución'!E86,'Base de distribución'!E87,'Base de distribución'!E88)),2)</f>
        <v>22959.77</v>
      </c>
      <c r="H26" s="39">
        <f>SUM(H52:H69)</f>
        <v>1449.7422875699081</v>
      </c>
      <c r="I26" s="16">
        <f>SUM(E26:G26)</f>
        <v>53572.81</v>
      </c>
      <c r="J26" s="18">
        <f>I26/$C$22</f>
        <v>0.14286082666666666</v>
      </c>
      <c r="K26" s="14"/>
      <c r="L26" s="14"/>
      <c r="M26" s="14"/>
      <c r="N26" s="14"/>
    </row>
    <row r="27" spans="2:14" ht="30.95" customHeight="1">
      <c r="B27" s="10" t="s">
        <v>43</v>
      </c>
      <c r="C27" s="10" t="s">
        <v>75</v>
      </c>
      <c r="D27" s="36">
        <f>Tarifas!E35</f>
        <v>8.625</v>
      </c>
      <c r="E27" s="11">
        <f>ROUND($C$22*('Base de distribución'!E83/SUM('Base de distribución'!E77,'Base de distribución'!E78,'Base de distribución'!E79,'Base de distribución'!E80,'Base de distribución'!E81,'Base de distribución'!E82,'Base de distribución'!E83,'Base de distribución'!E84,'Base de distribución'!E85,'Base de distribución'!E86,'Base de distribución'!E87,'Base de distribución'!E88)),2)</f>
        <v>33454.35</v>
      </c>
      <c r="F27" s="11">
        <f>ROUND($C$22*('Base de distribución'!E84/SUM('Base de distribución'!E77,'Base de distribución'!E78,'Base de distribución'!E79,'Base de distribución'!E80,'Base de distribución'!E81,'Base de distribución'!E82,'Base de distribución'!E83,'Base de distribución'!E84,'Base de distribución'!E85,'Base de distribución'!E86,'Base de distribución'!E87,'Base de distribución'!E88)),2)</f>
        <v>40299.47</v>
      </c>
      <c r="G27" s="11">
        <f>ROUND($C$22*('Base de distribución'!E85/SUM('Base de distribución'!E77,'Base de distribución'!E78,'Base de distribución'!E79,'Base de distribución'!E80,'Base de distribución'!E81,'Base de distribución'!E82,'Base de distribución'!E83,'Base de distribución'!E84,'Base de distribución'!E85,'Base de distribución'!E86,'Base de distribución'!E87,'Base de distribución'!E88)),2)</f>
        <v>46618.13</v>
      </c>
      <c r="H27" s="40">
        <f>SUM(H72:H72)</f>
        <v>13956167</v>
      </c>
      <c r="I27" s="11">
        <f>SUM(E27:G27)</f>
        <v>120371.95000000001</v>
      </c>
      <c r="J27" s="13">
        <f>I27/$C$22</f>
        <v>0.32099186666666668</v>
      </c>
      <c r="K27" s="9"/>
      <c r="L27" s="9"/>
      <c r="M27" s="9"/>
      <c r="N27" s="9"/>
    </row>
    <row r="28" spans="2:14" ht="30.95" customHeight="1">
      <c r="B28" s="15" t="s">
        <v>44</v>
      </c>
      <c r="C28" s="15" t="s">
        <v>75</v>
      </c>
      <c r="D28" s="38">
        <f>Tarifas!E36</f>
        <v>6.9</v>
      </c>
      <c r="E28" s="16">
        <f>ROUND($C$22*('Base de distribución'!E86/SUM('Base de distribución'!E77,'Base de distribución'!E78,'Base de distribución'!E79,'Base de distribución'!E80,'Base de distribución'!E81,'Base de distribución'!E82,'Base de distribución'!E83,'Base de distribución'!E84,'Base de distribución'!E85,'Base de distribución'!E86,'Base de distribución'!E87,'Base de distribución'!E88)),2)</f>
        <v>14062.5</v>
      </c>
      <c r="F28" s="16">
        <f>ROUND($C$22*('Base de distribución'!E87/SUM('Base de distribución'!E77,'Base de distribución'!E78,'Base de distribución'!E79,'Base de distribución'!E80,'Base de distribución'!E81,'Base de distribución'!E82,'Base de distribución'!E83,'Base de distribución'!E84,'Base de distribución'!E85,'Base de distribución'!E86,'Base de distribución'!E87,'Base de distribución'!E88)),2)</f>
        <v>19687.5</v>
      </c>
      <c r="G28" s="16">
        <f>ROUND($C$22-SUM(E25:G25,E26:G26,E27:G27,E28:F28),2)</f>
        <v>22500</v>
      </c>
      <c r="H28" s="41">
        <f>SUM(H75:H75)</f>
        <v>8152172</v>
      </c>
      <c r="I28" s="16">
        <f>SUM(E28:G28)</f>
        <v>56250</v>
      </c>
      <c r="J28" s="18">
        <f>I28/$C$22</f>
        <v>0.15</v>
      </c>
      <c r="K28" s="14"/>
      <c r="L28" s="14"/>
      <c r="M28" s="14"/>
      <c r="N28" s="14"/>
    </row>
    <row r="29" spans="2:14" ht="30" customHeight="1">
      <c r="B29" s="19" t="s">
        <v>78</v>
      </c>
      <c r="C29" s="19"/>
      <c r="D29" s="19"/>
      <c r="E29" s="20">
        <f>SUM(E25:E28)</f>
        <v>93750</v>
      </c>
      <c r="F29" s="20">
        <f>SUM(F25:F28)</f>
        <v>131250</v>
      </c>
      <c r="G29" s="20">
        <f>SUM(G25:G28)</f>
        <v>150000</v>
      </c>
      <c r="H29" s="19"/>
      <c r="I29" s="20">
        <f>SUM(I25:I28)</f>
        <v>375000</v>
      </c>
      <c r="J29" s="22">
        <f>SUM(J25:J28)</f>
        <v>1</v>
      </c>
      <c r="K29" s="19"/>
      <c r="L29" s="19"/>
      <c r="M29" s="19"/>
      <c r="N29" s="19"/>
    </row>
    <row r="30" spans="2:14">
      <c r="B30" s="2" t="s">
        <v>79</v>
      </c>
      <c r="C30" s="42">
        <f>ROUND(C22-I29,2)</f>
        <v>0</v>
      </c>
    </row>
    <row r="31" spans="2:14" ht="32.1" customHeight="1">
      <c r="B31" s="45" t="s">
        <v>80</v>
      </c>
      <c r="C31" s="45"/>
      <c r="D31" s="45"/>
      <c r="E31" s="45"/>
      <c r="F31" s="45"/>
      <c r="G31" s="45"/>
      <c r="H31" s="45"/>
      <c r="I31" s="45"/>
      <c r="J31" s="45"/>
      <c r="K31" s="45"/>
      <c r="L31" s="45"/>
      <c r="M31" s="45"/>
      <c r="N31" s="45"/>
    </row>
    <row r="32" spans="2:14" ht="32.1" customHeight="1">
      <c r="B32" s="45" t="s">
        <v>81</v>
      </c>
      <c r="C32" s="45"/>
      <c r="D32" s="45"/>
      <c r="E32" s="45"/>
      <c r="F32" s="45"/>
      <c r="G32" s="45"/>
      <c r="H32" s="45"/>
      <c r="I32" s="45"/>
      <c r="J32" s="45"/>
      <c r="K32" s="45"/>
      <c r="L32" s="45"/>
      <c r="M32" s="45"/>
      <c r="N32" s="45"/>
    </row>
    <row r="34" spans="2:14" ht="24.95" customHeight="1">
      <c r="B34" s="47" t="s">
        <v>82</v>
      </c>
      <c r="C34" s="47"/>
      <c r="D34" s="47"/>
      <c r="E34" s="47"/>
      <c r="F34" s="47"/>
      <c r="G34" s="47"/>
      <c r="H34" s="47"/>
      <c r="I34" s="47"/>
      <c r="J34" s="47"/>
      <c r="K34" s="47"/>
      <c r="L34" s="47"/>
      <c r="M34" s="47"/>
      <c r="N34" s="47"/>
    </row>
    <row r="35" spans="2:14" ht="42" customHeight="1">
      <c r="B35" s="6" t="s">
        <v>38</v>
      </c>
      <c r="C35" s="7" t="s">
        <v>83</v>
      </c>
      <c r="D35" s="7" t="s">
        <v>84</v>
      </c>
      <c r="E35" s="7" t="s">
        <v>66</v>
      </c>
      <c r="F35" s="7" t="s">
        <v>118</v>
      </c>
      <c r="G35" s="8" t="s">
        <v>135</v>
      </c>
    </row>
    <row r="36" spans="2:14" ht="44.1" customHeight="1">
      <c r="B36" s="10" t="s">
        <v>8</v>
      </c>
      <c r="C36" s="10" t="s">
        <v>85</v>
      </c>
      <c r="D36" s="10" t="s">
        <v>86</v>
      </c>
      <c r="E36" s="9" t="s">
        <v>66</v>
      </c>
      <c r="F36" s="9" t="s">
        <v>118</v>
      </c>
      <c r="G36" s="9" t="s">
        <v>135</v>
      </c>
      <c r="H36" s="9"/>
      <c r="I36" s="9"/>
      <c r="J36" s="9"/>
      <c r="K36" s="9"/>
      <c r="L36" s="9"/>
      <c r="M36" s="9"/>
      <c r="N36" s="9"/>
    </row>
    <row r="37" spans="2:14" ht="44.1" customHeight="1">
      <c r="B37" s="15" t="s">
        <v>41</v>
      </c>
      <c r="C37" s="15" t="s">
        <v>87</v>
      </c>
      <c r="D37" s="15" t="s">
        <v>88</v>
      </c>
      <c r="E37" s="14" t="s">
        <v>66</v>
      </c>
      <c r="F37" s="14" t="s">
        <v>118</v>
      </c>
      <c r="G37" s="14" t="s">
        <v>135</v>
      </c>
      <c r="H37" s="14"/>
      <c r="I37" s="14"/>
      <c r="J37" s="14"/>
      <c r="K37" s="14"/>
      <c r="L37" s="14"/>
      <c r="M37" s="14"/>
      <c r="N37" s="14"/>
    </row>
    <row r="38" spans="2:14" ht="44.1" customHeight="1">
      <c r="B38" s="10" t="s">
        <v>43</v>
      </c>
      <c r="C38" s="10" t="s">
        <v>89</v>
      </c>
      <c r="D38" s="10" t="s">
        <v>86</v>
      </c>
      <c r="E38" s="9" t="s">
        <v>66</v>
      </c>
      <c r="F38" s="9" t="s">
        <v>118</v>
      </c>
      <c r="G38" s="9" t="s">
        <v>135</v>
      </c>
      <c r="H38" s="9"/>
      <c r="I38" s="9"/>
      <c r="J38" s="9"/>
      <c r="K38" s="9"/>
      <c r="L38" s="9"/>
      <c r="M38" s="9"/>
      <c r="N38" s="9"/>
    </row>
    <row r="39" spans="2:14" ht="44.1" customHeight="1">
      <c r="B39" s="15" t="s">
        <v>44</v>
      </c>
      <c r="C39" s="15" t="s">
        <v>90</v>
      </c>
      <c r="D39" s="15" t="s">
        <v>86</v>
      </c>
      <c r="E39" s="14" t="s">
        <v>66</v>
      </c>
      <c r="F39" s="14" t="s">
        <v>118</v>
      </c>
      <c r="G39" s="14" t="s">
        <v>135</v>
      </c>
      <c r="H39" s="14"/>
      <c r="I39" s="14"/>
      <c r="J39" s="14"/>
      <c r="K39" s="14"/>
      <c r="L39" s="14"/>
      <c r="M39" s="14"/>
      <c r="N39" s="14"/>
    </row>
    <row r="41" spans="2:14" ht="24.95" customHeight="1">
      <c r="B41" s="47" t="s">
        <v>93</v>
      </c>
      <c r="C41" s="47"/>
      <c r="D41" s="47"/>
      <c r="E41" s="47"/>
      <c r="F41" s="47"/>
      <c r="G41" s="47"/>
      <c r="H41" s="47"/>
      <c r="I41" s="47"/>
      <c r="J41" s="47"/>
      <c r="K41" s="47"/>
      <c r="L41" s="47"/>
      <c r="M41" s="47"/>
      <c r="N41" s="47"/>
    </row>
    <row r="42" spans="2:14" ht="42" customHeight="1">
      <c r="B42" s="6" t="s">
        <v>94</v>
      </c>
      <c r="C42" s="7" t="s">
        <v>95</v>
      </c>
      <c r="D42" s="7" t="s">
        <v>64</v>
      </c>
      <c r="E42" s="7" t="s">
        <v>66</v>
      </c>
      <c r="F42" s="7" t="s">
        <v>118</v>
      </c>
      <c r="G42" s="7" t="s">
        <v>135</v>
      </c>
      <c r="H42" s="7" t="s">
        <v>96</v>
      </c>
      <c r="I42" s="7" t="s">
        <v>2</v>
      </c>
      <c r="J42" s="8" t="s">
        <v>97</v>
      </c>
    </row>
    <row r="43" spans="2:14" ht="24.95" customHeight="1">
      <c r="B43" s="47" t="s">
        <v>8</v>
      </c>
      <c r="C43" s="47"/>
      <c r="D43" s="47"/>
      <c r="E43" s="47"/>
      <c r="F43" s="47"/>
      <c r="G43" s="47"/>
      <c r="H43" s="47"/>
      <c r="I43" s="47"/>
      <c r="J43" s="47"/>
      <c r="K43" s="47"/>
      <c r="L43" s="47"/>
      <c r="M43" s="47"/>
      <c r="N43" s="47"/>
    </row>
    <row r="44" spans="2:14" ht="38.1" customHeight="1">
      <c r="B44" s="10" t="str">
        <f>Tarifas!B7</f>
        <v>Telemundo</v>
      </c>
      <c r="C44" s="10" t="str">
        <f>Tarifas!C7</f>
        <v>Dia a Dia</v>
      </c>
      <c r="D44" s="36">
        <f>Tarifas!E7</f>
        <v>782</v>
      </c>
      <c r="E44" s="37">
        <f>E25/$D$25</f>
        <v>3.4517676855461477</v>
      </c>
      <c r="F44" s="37">
        <f>F25/$D$25</f>
        <v>5.177650535097956</v>
      </c>
      <c r="G44" s="37">
        <f>G25/$D$25</f>
        <v>5.7529461425769126</v>
      </c>
      <c r="H44" s="37">
        <f t="shared" ref="H44:H49" si="1">SUM(E44:G44)</f>
        <v>14.382364363221015</v>
      </c>
      <c r="I44" s="11">
        <f>ROUND(H44*D44,2)</f>
        <v>11247.01</v>
      </c>
      <c r="J44" s="13">
        <f t="shared" ref="J44:J49" si="2">I44/$C$22</f>
        <v>2.9992026666666668E-2</v>
      </c>
      <c r="K44" s="9"/>
      <c r="L44" s="9"/>
      <c r="M44" s="9"/>
      <c r="N44" s="9"/>
    </row>
    <row r="45" spans="2:14" ht="38.1" customHeight="1">
      <c r="B45" s="15" t="str">
        <f>Tarifas!B8</f>
        <v>Telemundo</v>
      </c>
      <c r="C45" s="15" t="str">
        <f>Tarifas!C8</f>
        <v>PR Gana 6pm (M,W,T,f,Su)</v>
      </c>
      <c r="D45" s="38">
        <f>Tarifas!E8</f>
        <v>2541.5</v>
      </c>
      <c r="E45" s="39">
        <f>E25/$D$25</f>
        <v>3.4517676855461477</v>
      </c>
      <c r="F45" s="39">
        <f>F25/$D$25</f>
        <v>5.177650535097956</v>
      </c>
      <c r="G45" s="39">
        <f>G25/$D$25</f>
        <v>5.7529461425769126</v>
      </c>
      <c r="H45" s="39">
        <f t="shared" si="1"/>
        <v>14.382364363221015</v>
      </c>
      <c r="I45" s="16">
        <f>ROUND(H45*D45,2)</f>
        <v>36552.78</v>
      </c>
      <c r="J45" s="18">
        <f t="shared" si="2"/>
        <v>9.7474079999999991E-2</v>
      </c>
      <c r="K45" s="14"/>
      <c r="L45" s="14"/>
      <c r="M45" s="14"/>
      <c r="N45" s="14"/>
    </row>
    <row r="46" spans="2:14" ht="38.1" customHeight="1">
      <c r="B46" s="10" t="str">
        <f>Tarifas!B9</f>
        <v>WAPA</v>
      </c>
      <c r="C46" s="10" t="str">
        <f>Tarifas!C9</f>
        <v>Pegate al MedioDIa</v>
      </c>
      <c r="D46" s="36">
        <f>Tarifas!E9</f>
        <v>977.5</v>
      </c>
      <c r="E46" s="37">
        <f>E25/$D$25</f>
        <v>3.4517676855461477</v>
      </c>
      <c r="F46" s="37">
        <f>F25/$D$25</f>
        <v>5.177650535097956</v>
      </c>
      <c r="G46" s="37">
        <f>G25/$D$25</f>
        <v>5.7529461425769126</v>
      </c>
      <c r="H46" s="37">
        <f t="shared" si="1"/>
        <v>14.382364363221015</v>
      </c>
      <c r="I46" s="11">
        <f>ROUND(H46*D46,2)</f>
        <v>14058.76</v>
      </c>
      <c r="J46" s="13">
        <f t="shared" si="2"/>
        <v>3.7490026666666669E-2</v>
      </c>
      <c r="K46" s="9"/>
      <c r="L46" s="9"/>
      <c r="M46" s="9"/>
      <c r="N46" s="9"/>
    </row>
    <row r="47" spans="2:14" ht="38.1" customHeight="1">
      <c r="B47" s="15" t="str">
        <f>Tarifas!B10</f>
        <v>WAPA</v>
      </c>
      <c r="C47" s="15" t="str">
        <f>Tarifas!C10</f>
        <v>Reality-Funcion Estelar 7p</v>
      </c>
      <c r="D47" s="38">
        <f>Tarifas!E10</f>
        <v>3519</v>
      </c>
      <c r="E47" s="39">
        <f>E25/$D$25</f>
        <v>3.4517676855461477</v>
      </c>
      <c r="F47" s="39">
        <f>F25/$D$25</f>
        <v>5.177650535097956</v>
      </c>
      <c r="G47" s="39">
        <f>G25/$D$25</f>
        <v>5.7529461425769126</v>
      </c>
      <c r="H47" s="39">
        <f t="shared" si="1"/>
        <v>14.382364363221015</v>
      </c>
      <c r="I47" s="16">
        <f>ROUND(H47*D47,2)</f>
        <v>50611.54</v>
      </c>
      <c r="J47" s="18">
        <f t="shared" si="2"/>
        <v>0.13496410666666667</v>
      </c>
      <c r="K47" s="14"/>
      <c r="L47" s="14"/>
      <c r="M47" s="14"/>
      <c r="N47" s="14"/>
    </row>
    <row r="48" spans="2:14" ht="38.1" customHeight="1">
      <c r="B48" s="10" t="str">
        <f>Tarifas!B11</f>
        <v>TeleOnce</v>
      </c>
      <c r="C48" s="10" t="str">
        <f>Tarifas!C11</f>
        <v>PR en Vivo</v>
      </c>
      <c r="D48" s="36">
        <f>Tarifas!E11</f>
        <v>586.5</v>
      </c>
      <c r="E48" s="37">
        <f>E25/$D$25</f>
        <v>3.4517676855461477</v>
      </c>
      <c r="F48" s="37">
        <f>F25/$D$25</f>
        <v>5.177650535097956</v>
      </c>
      <c r="G48" s="37">
        <f>G25/$D$25</f>
        <v>5.7529461425769126</v>
      </c>
      <c r="H48" s="37">
        <f t="shared" si="1"/>
        <v>14.382364363221015</v>
      </c>
      <c r="I48" s="11">
        <f>ROUND(H48*D48,2)</f>
        <v>8435.26</v>
      </c>
      <c r="J48" s="13">
        <f t="shared" si="2"/>
        <v>2.2494026666666667E-2</v>
      </c>
      <c r="K48" s="9"/>
      <c r="L48" s="9"/>
      <c r="M48" s="9"/>
      <c r="N48" s="9"/>
    </row>
    <row r="49" spans="2:14" ht="38.1" customHeight="1">
      <c r="B49" s="15" t="str">
        <f>Tarifas!B12</f>
        <v>TeleOnce</v>
      </c>
      <c r="C49" s="15" t="str">
        <f>Tarifas!C12</f>
        <v>Las Noticias Prime</v>
      </c>
      <c r="D49" s="38">
        <f>Tarifas!E12</f>
        <v>1661.75</v>
      </c>
      <c r="E49" s="39">
        <f>E25/$D$25</f>
        <v>3.4517676855461477</v>
      </c>
      <c r="F49" s="39">
        <f>F25/$D$25</f>
        <v>5.177650535097956</v>
      </c>
      <c r="G49" s="39">
        <f>G25/$D$25</f>
        <v>5.7529461425769126</v>
      </c>
      <c r="H49" s="39">
        <f t="shared" si="1"/>
        <v>14.382364363221015</v>
      </c>
      <c r="I49" s="16">
        <f>ROUND(I25-SUM(I44:I48),2)</f>
        <v>23899.89</v>
      </c>
      <c r="J49" s="18">
        <f t="shared" si="2"/>
        <v>6.3733040000000005E-2</v>
      </c>
      <c r="K49" s="14"/>
      <c r="L49" s="14"/>
      <c r="M49" s="14"/>
      <c r="N49" s="14"/>
    </row>
    <row r="50" spans="2:14" ht="30" customHeight="1">
      <c r="B50" s="19" t="s">
        <v>98</v>
      </c>
      <c r="C50" s="19"/>
      <c r="D50" s="19"/>
      <c r="E50" s="19"/>
      <c r="F50" s="19"/>
      <c r="G50" s="19"/>
      <c r="H50" s="19"/>
      <c r="I50" s="20">
        <f>SUM(I44:I49)</f>
        <v>144805.24</v>
      </c>
      <c r="J50" s="19"/>
      <c r="K50" s="19"/>
      <c r="L50" s="19"/>
      <c r="M50" s="19"/>
      <c r="N50" s="19"/>
    </row>
    <row r="51" spans="2:14" ht="24.95" customHeight="1">
      <c r="B51" s="47" t="s">
        <v>41</v>
      </c>
      <c r="C51" s="47"/>
      <c r="D51" s="47"/>
      <c r="E51" s="47"/>
      <c r="F51" s="47"/>
      <c r="G51" s="47"/>
      <c r="H51" s="47"/>
      <c r="I51" s="47"/>
      <c r="J51" s="47"/>
      <c r="K51" s="47"/>
      <c r="L51" s="47"/>
      <c r="M51" s="47"/>
      <c r="N51" s="47"/>
    </row>
    <row r="52" spans="2:14" ht="38.1" customHeight="1">
      <c r="B52" s="10" t="str">
        <f>Tarifas!B13</f>
        <v>Unica Radio-1230am</v>
      </c>
      <c r="C52" s="10" t="str">
        <f>Tarifas!C13</f>
        <v>ROS 7 a. m.–5 p. m.</v>
      </c>
      <c r="D52" s="36">
        <f>Tarifas!E13</f>
        <v>36.799999999999997</v>
      </c>
      <c r="E52" s="37">
        <f>E26/$D$26</f>
        <v>17.258839978351073</v>
      </c>
      <c r="F52" s="37">
        <f>F26/$D$26</f>
        <v>28.764733297251791</v>
      </c>
      <c r="G52" s="37">
        <f>G26/$D$26</f>
        <v>34.517664922725359</v>
      </c>
      <c r="H52" s="37">
        <f t="shared" ref="H52:H69" si="3">SUM(E52:G52)</f>
        <v>80.541238198328216</v>
      </c>
      <c r="I52" s="11">
        <f t="shared" ref="I52:I68" si="4">ROUND(H52*D52,2)</f>
        <v>2963.92</v>
      </c>
      <c r="J52" s="13">
        <f t="shared" ref="J52:J69" si="5">I52/$C$22</f>
        <v>7.9037866666666675E-3</v>
      </c>
      <c r="K52" s="9"/>
      <c r="L52" s="9"/>
      <c r="M52" s="9"/>
      <c r="N52" s="9"/>
    </row>
    <row r="53" spans="2:14" ht="38.1" customHeight="1">
      <c r="B53" s="15" t="str">
        <f>Tarifas!B14</f>
        <v>Radio Once-1120AM</v>
      </c>
      <c r="C53" s="15" t="str">
        <f>Tarifas!C14</f>
        <v>ROS 7 a. m.–5 p. m.</v>
      </c>
      <c r="D53" s="38">
        <f>Tarifas!E14</f>
        <v>36.799999999999997</v>
      </c>
      <c r="E53" s="39">
        <f>E26/$D$26</f>
        <v>17.258839978351073</v>
      </c>
      <c r="F53" s="39">
        <f>F26/$D$26</f>
        <v>28.764733297251791</v>
      </c>
      <c r="G53" s="39">
        <f>G26/$D$26</f>
        <v>34.517664922725359</v>
      </c>
      <c r="H53" s="39">
        <f t="shared" si="3"/>
        <v>80.541238198328216</v>
      </c>
      <c r="I53" s="16">
        <f t="shared" si="4"/>
        <v>2963.92</v>
      </c>
      <c r="J53" s="18">
        <f t="shared" si="5"/>
        <v>7.9037866666666675E-3</v>
      </c>
      <c r="K53" s="14"/>
      <c r="L53" s="14"/>
      <c r="M53" s="14"/>
      <c r="N53" s="14"/>
    </row>
    <row r="54" spans="2:14" ht="38.1" customHeight="1">
      <c r="B54" s="10" t="str">
        <f>Tarifas!B15</f>
        <v>WAPA Radio-Borinquen</v>
      </c>
      <c r="C54" s="10" t="str">
        <f>Tarifas!C15</f>
        <v>ROS 7 a. m.–5 p. m.</v>
      </c>
      <c r="D54" s="36">
        <f>Tarifas!E15</f>
        <v>55.2</v>
      </c>
      <c r="E54" s="37">
        <f>E26/$D$26</f>
        <v>17.258839978351073</v>
      </c>
      <c r="F54" s="37">
        <f>F26/$D$26</f>
        <v>28.764733297251791</v>
      </c>
      <c r="G54" s="37">
        <f>G26/$D$26</f>
        <v>34.517664922725359</v>
      </c>
      <c r="H54" s="37">
        <f t="shared" si="3"/>
        <v>80.541238198328216</v>
      </c>
      <c r="I54" s="11">
        <f t="shared" si="4"/>
        <v>4445.88</v>
      </c>
      <c r="J54" s="13">
        <f t="shared" si="5"/>
        <v>1.185568E-2</v>
      </c>
      <c r="K54" s="9"/>
      <c r="L54" s="9"/>
      <c r="M54" s="9"/>
      <c r="N54" s="9"/>
    </row>
    <row r="55" spans="2:14" ht="38.1" customHeight="1">
      <c r="B55" s="15" t="str">
        <f>Tarifas!B16</f>
        <v>WAEL-FM</v>
      </c>
      <c r="C55" s="15" t="str">
        <f>Tarifas!C16</f>
        <v>ROS 7 a. m.–5 p. m.</v>
      </c>
      <c r="D55" s="38">
        <f>Tarifas!E16</f>
        <v>36.799999999999997</v>
      </c>
      <c r="E55" s="39">
        <f>E26/$D$26</f>
        <v>17.258839978351073</v>
      </c>
      <c r="F55" s="39">
        <f>F26/$D$26</f>
        <v>28.764733297251791</v>
      </c>
      <c r="G55" s="39">
        <f>G26/$D$26</f>
        <v>34.517664922725359</v>
      </c>
      <c r="H55" s="39">
        <f t="shared" si="3"/>
        <v>80.541238198328216</v>
      </c>
      <c r="I55" s="16">
        <f t="shared" si="4"/>
        <v>2963.92</v>
      </c>
      <c r="J55" s="18">
        <f t="shared" si="5"/>
        <v>7.9037866666666675E-3</v>
      </c>
      <c r="K55" s="14"/>
      <c r="L55" s="14"/>
      <c r="M55" s="14"/>
      <c r="N55" s="14"/>
    </row>
    <row r="56" spans="2:14" ht="38.1" customHeight="1">
      <c r="B56" s="10" t="str">
        <f>Tarifas!B17</f>
        <v>WABA-AM (Aguadilla)</v>
      </c>
      <c r="C56" s="10" t="str">
        <f>Tarifas!C17</f>
        <v>ROS 7 a. m.–5 p. m.</v>
      </c>
      <c r="D56" s="36">
        <f>Tarifas!E17</f>
        <v>28.52</v>
      </c>
      <c r="E56" s="37">
        <f>E26/$D$26</f>
        <v>17.258839978351073</v>
      </c>
      <c r="F56" s="37">
        <f>F26/$D$26</f>
        <v>28.764733297251791</v>
      </c>
      <c r="G56" s="37">
        <f>G26/$D$26</f>
        <v>34.517664922725359</v>
      </c>
      <c r="H56" s="37">
        <f t="shared" si="3"/>
        <v>80.541238198328216</v>
      </c>
      <c r="I56" s="11">
        <f t="shared" si="4"/>
        <v>2297.04</v>
      </c>
      <c r="J56" s="13">
        <f t="shared" si="5"/>
        <v>6.1254400000000002E-3</v>
      </c>
      <c r="K56" s="9"/>
      <c r="L56" s="9"/>
      <c r="M56" s="9"/>
      <c r="N56" s="9"/>
    </row>
    <row r="57" spans="2:14" ht="38.1" customHeight="1">
      <c r="B57" s="15" t="str">
        <f>Tarifas!B18</f>
        <v>WHOY-AM (Salinas)</v>
      </c>
      <c r="C57" s="15" t="str">
        <f>Tarifas!C18</f>
        <v>ROS 7 a. m.–5 p. m.</v>
      </c>
      <c r="D57" s="38">
        <f>Tarifas!E18</f>
        <v>28.52</v>
      </c>
      <c r="E57" s="39">
        <f>E26/$D$26</f>
        <v>17.258839978351073</v>
      </c>
      <c r="F57" s="39">
        <f>F26/$D$26</f>
        <v>28.764733297251791</v>
      </c>
      <c r="G57" s="39">
        <f>G26/$D$26</f>
        <v>34.517664922725359</v>
      </c>
      <c r="H57" s="39">
        <f t="shared" si="3"/>
        <v>80.541238198328216</v>
      </c>
      <c r="I57" s="16">
        <f t="shared" si="4"/>
        <v>2297.04</v>
      </c>
      <c r="J57" s="18">
        <f t="shared" si="5"/>
        <v>6.1254400000000002E-3</v>
      </c>
      <c r="K57" s="14"/>
      <c r="L57" s="14"/>
      <c r="M57" s="14"/>
      <c r="N57" s="14"/>
    </row>
    <row r="58" spans="2:14" ht="38.1" customHeight="1">
      <c r="B58" s="10" t="str">
        <f>Tarifas!B19</f>
        <v>WGDL-AM/FM (Lares/Aguadilla)</v>
      </c>
      <c r="C58" s="10" t="str">
        <f>Tarifas!C19</f>
        <v>ROS 7 a. m.–5 p. m.</v>
      </c>
      <c r="D58" s="36">
        <f>Tarifas!E19</f>
        <v>45.08</v>
      </c>
      <c r="E58" s="37">
        <f>E26/$D$26</f>
        <v>17.258839978351073</v>
      </c>
      <c r="F58" s="37">
        <f>F26/$D$26</f>
        <v>28.764733297251791</v>
      </c>
      <c r="G58" s="37">
        <f>G26/$D$26</f>
        <v>34.517664922725359</v>
      </c>
      <c r="H58" s="37">
        <f t="shared" si="3"/>
        <v>80.541238198328216</v>
      </c>
      <c r="I58" s="11">
        <f t="shared" si="4"/>
        <v>3630.8</v>
      </c>
      <c r="J58" s="13">
        <f t="shared" si="5"/>
        <v>9.6821333333333339E-3</v>
      </c>
      <c r="K58" s="9"/>
      <c r="L58" s="9"/>
      <c r="M58" s="9"/>
      <c r="N58" s="9"/>
    </row>
    <row r="59" spans="2:14" ht="38.1" customHeight="1">
      <c r="B59" s="15" t="str">
        <f>Tarifas!B20</f>
        <v>WPRA-AM (Mayaguez)</v>
      </c>
      <c r="C59" s="15" t="str">
        <f>Tarifas!C20</f>
        <v>ROS 7 a. m.–5 p. m.</v>
      </c>
      <c r="D59" s="38">
        <f>Tarifas!E20</f>
        <v>28.52</v>
      </c>
      <c r="E59" s="39">
        <f>E26/$D$26</f>
        <v>17.258839978351073</v>
      </c>
      <c r="F59" s="39">
        <f>F26/$D$26</f>
        <v>28.764733297251791</v>
      </c>
      <c r="G59" s="39">
        <f>G26/$D$26</f>
        <v>34.517664922725359</v>
      </c>
      <c r="H59" s="39">
        <f t="shared" si="3"/>
        <v>80.541238198328216</v>
      </c>
      <c r="I59" s="16">
        <f t="shared" si="4"/>
        <v>2297.04</v>
      </c>
      <c r="J59" s="18">
        <f t="shared" si="5"/>
        <v>6.1254400000000002E-3</v>
      </c>
      <c r="K59" s="14"/>
      <c r="L59" s="14"/>
      <c r="M59" s="14"/>
      <c r="N59" s="14"/>
    </row>
    <row r="60" spans="2:14" ht="38.1" customHeight="1">
      <c r="B60" s="10" t="str">
        <f>Tarifas!B21</f>
        <v>WISA-AM (Isabela)</v>
      </c>
      <c r="C60" s="10" t="str">
        <f>Tarifas!C21</f>
        <v>ROS 7 a. m.–5 p. m.</v>
      </c>
      <c r="D60" s="36">
        <f>Tarifas!E21</f>
        <v>28.52</v>
      </c>
      <c r="E60" s="37">
        <f>E26/$D$26</f>
        <v>17.258839978351073</v>
      </c>
      <c r="F60" s="37">
        <f>F26/$D$26</f>
        <v>28.764733297251791</v>
      </c>
      <c r="G60" s="37">
        <f>G26/$D$26</f>
        <v>34.517664922725359</v>
      </c>
      <c r="H60" s="37">
        <f t="shared" si="3"/>
        <v>80.541238198328216</v>
      </c>
      <c r="I60" s="11">
        <f t="shared" si="4"/>
        <v>2297.04</v>
      </c>
      <c r="J60" s="13">
        <f t="shared" si="5"/>
        <v>6.1254400000000002E-3</v>
      </c>
      <c r="K60" s="9"/>
      <c r="L60" s="9"/>
      <c r="M60" s="9"/>
      <c r="N60" s="9"/>
    </row>
    <row r="61" spans="2:14" ht="38.1" customHeight="1">
      <c r="B61" s="15" t="str">
        <f>Tarifas!B22</f>
        <v xml:space="preserve">Auspicios: $1,075,000 pendientes de con con el RFP. No están sumados al escenario de $3,763,000. </v>
      </c>
      <c r="C61" s="15" t="str">
        <f>Tarifas!C22</f>
        <v>ROS 7 a. m.–5 p. m.</v>
      </c>
      <c r="D61" s="38">
        <f>Tarifas!E22</f>
        <v>28.52</v>
      </c>
      <c r="E61" s="39">
        <f>E26/$D$26</f>
        <v>17.258839978351073</v>
      </c>
      <c r="F61" s="39">
        <f>F26/$D$26</f>
        <v>28.764733297251791</v>
      </c>
      <c r="G61" s="39">
        <f>G26/$D$26</f>
        <v>34.517664922725359</v>
      </c>
      <c r="H61" s="39">
        <f t="shared" si="3"/>
        <v>80.541238198328216</v>
      </c>
      <c r="I61" s="16">
        <f t="shared" si="4"/>
        <v>2297.04</v>
      </c>
      <c r="J61" s="18">
        <f t="shared" si="5"/>
        <v>6.1254400000000002E-3</v>
      </c>
      <c r="K61" s="14"/>
      <c r="L61" s="14"/>
      <c r="M61" s="14"/>
      <c r="N61" s="14"/>
    </row>
    <row r="62" spans="2:14" ht="38.1" customHeight="1">
      <c r="B62" s="10" t="str">
        <f>Tarifas!B23</f>
        <v>WCPR-AM (Coamo)</v>
      </c>
      <c r="C62" s="10" t="str">
        <f>Tarifas!C23</f>
        <v>ROS 7 a. m.–5 p. m.</v>
      </c>
      <c r="D62" s="36">
        <f>Tarifas!E23</f>
        <v>28.52</v>
      </c>
      <c r="E62" s="37">
        <f>E26/$D$26</f>
        <v>17.258839978351073</v>
      </c>
      <c r="F62" s="37">
        <f>F26/$D$26</f>
        <v>28.764733297251791</v>
      </c>
      <c r="G62" s="37">
        <f>G26/$D$26</f>
        <v>34.517664922725359</v>
      </c>
      <c r="H62" s="37">
        <f t="shared" si="3"/>
        <v>80.541238198328216</v>
      </c>
      <c r="I62" s="11">
        <f t="shared" si="4"/>
        <v>2297.04</v>
      </c>
      <c r="J62" s="13">
        <f t="shared" si="5"/>
        <v>6.1254400000000002E-3</v>
      </c>
      <c r="K62" s="9"/>
      <c r="L62" s="9"/>
      <c r="M62" s="9"/>
      <c r="N62" s="9"/>
    </row>
    <row r="63" spans="2:14" ht="38.1" customHeight="1">
      <c r="B63" s="15" t="str">
        <f>Tarifas!B24</f>
        <v>WLPR-AM (SanSebastian)</v>
      </c>
      <c r="C63" s="15" t="str">
        <f>Tarifas!C24</f>
        <v>ROS 7 a. m.–5 p. m.</v>
      </c>
      <c r="D63" s="38">
        <f>Tarifas!E24</f>
        <v>28.52</v>
      </c>
      <c r="E63" s="39">
        <f>E26/$D$26</f>
        <v>17.258839978351073</v>
      </c>
      <c r="F63" s="39">
        <f>F26/$D$26</f>
        <v>28.764733297251791</v>
      </c>
      <c r="G63" s="39">
        <f>G26/$D$26</f>
        <v>34.517664922725359</v>
      </c>
      <c r="H63" s="39">
        <f t="shared" si="3"/>
        <v>80.541238198328216</v>
      </c>
      <c r="I63" s="16">
        <f t="shared" si="4"/>
        <v>2297.04</v>
      </c>
      <c r="J63" s="18">
        <f t="shared" si="5"/>
        <v>6.1254400000000002E-3</v>
      </c>
      <c r="K63" s="14"/>
      <c r="L63" s="14"/>
      <c r="M63" s="14"/>
      <c r="N63" s="14"/>
    </row>
    <row r="64" spans="2:14" ht="38.1" customHeight="1">
      <c r="B64" s="10" t="str">
        <f>Tarifas!B25</f>
        <v xml:space="preserve">Entregas estimadas con tarifas de referencia. </v>
      </c>
      <c r="C64" s="10" t="str">
        <f>Tarifas!C25</f>
        <v>ROS 7 a. m.–5 p. m.</v>
      </c>
      <c r="D64" s="36">
        <f>Tarifas!E25</f>
        <v>28.52</v>
      </c>
      <c r="E64" s="37">
        <f>E26/$D$26</f>
        <v>17.258839978351073</v>
      </c>
      <c r="F64" s="37">
        <f>F26/$D$26</f>
        <v>28.764733297251791</v>
      </c>
      <c r="G64" s="37">
        <f>G26/$D$26</f>
        <v>34.517664922725359</v>
      </c>
      <c r="H64" s="37">
        <f t="shared" si="3"/>
        <v>80.541238198328216</v>
      </c>
      <c r="I64" s="11">
        <f t="shared" si="4"/>
        <v>2297.04</v>
      </c>
      <c r="J64" s="13">
        <f t="shared" si="5"/>
        <v>6.1254400000000002E-3</v>
      </c>
      <c r="K64" s="9"/>
      <c r="L64" s="9"/>
      <c r="M64" s="9"/>
      <c r="N64" s="9"/>
    </row>
    <row r="65" spans="2:14" ht="38.1" customHeight="1">
      <c r="B65" s="15" t="str">
        <f>Tarifas!B26</f>
        <v>WENA-AM (Yauco)</v>
      </c>
      <c r="C65" s="15" t="str">
        <f>Tarifas!C26</f>
        <v>ROS 7 a. m.–5 p. m.</v>
      </c>
      <c r="D65" s="38">
        <f>Tarifas!E26</f>
        <v>28.52</v>
      </c>
      <c r="E65" s="39">
        <f>E26/$D$26</f>
        <v>17.258839978351073</v>
      </c>
      <c r="F65" s="39">
        <f>F26/$D$26</f>
        <v>28.764733297251791</v>
      </c>
      <c r="G65" s="39">
        <f>G26/$D$26</f>
        <v>34.517664922725359</v>
      </c>
      <c r="H65" s="39">
        <f t="shared" si="3"/>
        <v>80.541238198328216</v>
      </c>
      <c r="I65" s="16">
        <f t="shared" si="4"/>
        <v>2297.04</v>
      </c>
      <c r="J65" s="18">
        <f t="shared" si="5"/>
        <v>6.1254400000000002E-3</v>
      </c>
      <c r="K65" s="14"/>
      <c r="L65" s="14"/>
      <c r="M65" s="14"/>
      <c r="N65" s="14"/>
    </row>
    <row r="66" spans="2:14" ht="38.1" customHeight="1">
      <c r="B66" s="10" t="str">
        <f>Tarifas!B27</f>
        <v>SuperK 106Fm (Arecibo)</v>
      </c>
      <c r="C66" s="10" t="str">
        <f>Tarifas!C27</f>
        <v>ROS 7 a. m.–5 p. m.</v>
      </c>
      <c r="D66" s="36">
        <f>Tarifas!E27</f>
        <v>69</v>
      </c>
      <c r="E66" s="37">
        <f>E26/$D$26</f>
        <v>17.258839978351073</v>
      </c>
      <c r="F66" s="37">
        <f>F26/$D$26</f>
        <v>28.764733297251791</v>
      </c>
      <c r="G66" s="37">
        <f>G26/$D$26</f>
        <v>34.517664922725359</v>
      </c>
      <c r="H66" s="37">
        <f t="shared" si="3"/>
        <v>80.541238198328216</v>
      </c>
      <c r="I66" s="11">
        <f t="shared" si="4"/>
        <v>5557.35</v>
      </c>
      <c r="J66" s="13">
        <f t="shared" si="5"/>
        <v>1.48196E-2</v>
      </c>
      <c r="K66" s="9"/>
      <c r="L66" s="9"/>
      <c r="M66" s="9"/>
      <c r="N66" s="9"/>
    </row>
    <row r="67" spans="2:14" ht="38.1" customHeight="1">
      <c r="B67" s="15" t="str">
        <f>Tarifas!B28</f>
        <v>Radio Grito (Lares)-Hora del Grito 12md</v>
      </c>
      <c r="C67" s="15" t="s">
        <v>99</v>
      </c>
      <c r="D67" s="38">
        <f>Tarifas!E28</f>
        <v>27.6</v>
      </c>
      <c r="E67" s="39">
        <f>E26/$D$26</f>
        <v>17.258839978351073</v>
      </c>
      <c r="F67" s="39">
        <f>F26/$D$26</f>
        <v>28.764733297251791</v>
      </c>
      <c r="G67" s="39">
        <f>G26/$D$26</f>
        <v>34.517664922725359</v>
      </c>
      <c r="H67" s="39">
        <f t="shared" si="3"/>
        <v>80.541238198328216</v>
      </c>
      <c r="I67" s="16">
        <f t="shared" si="4"/>
        <v>2222.94</v>
      </c>
      <c r="J67" s="18">
        <f t="shared" si="5"/>
        <v>5.9278400000000002E-3</v>
      </c>
      <c r="K67" s="14"/>
      <c r="L67" s="14"/>
      <c r="M67" s="14"/>
      <c r="N67" s="14"/>
    </row>
    <row r="68" spans="2:14" ht="38.1" customHeight="1">
      <c r="B68" s="10" t="str">
        <f>Tarifas!B29</f>
        <v>NotiUno (NORTE)-La Hornilla &amp; John Alma-Spots</v>
      </c>
      <c r="C68" s="10" t="s">
        <v>100</v>
      </c>
      <c r="D68" s="36">
        <f>Tarifas!E29</f>
        <v>50.6</v>
      </c>
      <c r="E68" s="37">
        <f>E26/$D$26</f>
        <v>17.258839978351073</v>
      </c>
      <c r="F68" s="37">
        <f>F26/$D$26</f>
        <v>28.764733297251791</v>
      </c>
      <c r="G68" s="37">
        <f>G26/$D$26</f>
        <v>34.517664922725359</v>
      </c>
      <c r="H68" s="37">
        <f t="shared" si="3"/>
        <v>80.541238198328216</v>
      </c>
      <c r="I68" s="11">
        <f t="shared" si="4"/>
        <v>4075.39</v>
      </c>
      <c r="J68" s="13">
        <f t="shared" si="5"/>
        <v>1.0867706666666666E-2</v>
      </c>
      <c r="K68" s="9"/>
      <c r="L68" s="9"/>
      <c r="M68" s="9"/>
      <c r="N68" s="9"/>
    </row>
    <row r="69" spans="2:14" ht="38.1" customHeight="1">
      <c r="B69" s="15" t="str">
        <f>Tarifas!B30</f>
        <v>NotiUno (SUR-Ponce) ROS</v>
      </c>
      <c r="C69" s="15" t="str">
        <f>Tarifas!C30</f>
        <v>ROS 7 a. m.–5 p. m.</v>
      </c>
      <c r="D69" s="38">
        <f>Tarifas!E30</f>
        <v>50.6</v>
      </c>
      <c r="E69" s="39">
        <f>E26/$D$26</f>
        <v>17.258839978351073</v>
      </c>
      <c r="F69" s="39">
        <f>F26/$D$26</f>
        <v>28.764733297251791</v>
      </c>
      <c r="G69" s="39">
        <f>G26/$D$26</f>
        <v>34.517664922725359</v>
      </c>
      <c r="H69" s="39">
        <f t="shared" si="3"/>
        <v>80.541238198328216</v>
      </c>
      <c r="I69" s="16">
        <f>ROUND(I26-SUM(I52:I68),2)</f>
        <v>4075.33</v>
      </c>
      <c r="J69" s="18">
        <f t="shared" si="5"/>
        <v>1.0867546666666667E-2</v>
      </c>
      <c r="K69" s="14"/>
      <c r="L69" s="14"/>
      <c r="M69" s="14"/>
      <c r="N69" s="14"/>
    </row>
    <row r="70" spans="2:14" ht="30" customHeight="1">
      <c r="B70" s="19" t="s">
        <v>101</v>
      </c>
      <c r="C70" s="19"/>
      <c r="D70" s="19"/>
      <c r="E70" s="19"/>
      <c r="F70" s="19"/>
      <c r="G70" s="19"/>
      <c r="H70" s="19"/>
      <c r="I70" s="20">
        <f>SUM(I52:I69)</f>
        <v>53572.810000000005</v>
      </c>
      <c r="J70" s="19"/>
      <c r="K70" s="19"/>
      <c r="L70" s="19"/>
      <c r="M70" s="19"/>
      <c r="N70" s="19"/>
    </row>
    <row r="71" spans="2:14" ht="24.95" customHeight="1">
      <c r="B71" s="47" t="s">
        <v>43</v>
      </c>
      <c r="C71" s="47"/>
      <c r="D71" s="47"/>
      <c r="E71" s="47"/>
      <c r="F71" s="47"/>
      <c r="G71" s="47"/>
      <c r="H71" s="47"/>
      <c r="I71" s="47"/>
      <c r="J71" s="47"/>
      <c r="K71" s="47"/>
      <c r="L71" s="47"/>
      <c r="M71" s="47"/>
      <c r="N71" s="47"/>
    </row>
    <row r="72" spans="2:14" ht="38.1" customHeight="1">
      <c r="B72" s="10" t="str">
        <f>Tarifas!B35</f>
        <v>Meta</v>
      </c>
      <c r="C72" s="10" t="str">
        <f>Tarifas!C35</f>
        <v>Video / Reels / Stories</v>
      </c>
      <c r="D72" s="36">
        <f>Tarifas!E35</f>
        <v>8.625</v>
      </c>
      <c r="E72" s="40">
        <f>ROUNDDOWN(E27/$D72*1000,0)</f>
        <v>3878765</v>
      </c>
      <c r="F72" s="40">
        <f>ROUNDDOWN(F27/$D72*1000,0)</f>
        <v>4672402</v>
      </c>
      <c r="G72" s="40">
        <f>ROUNDDOWN(G27/$D72*1000,0)</f>
        <v>5405000</v>
      </c>
      <c r="H72" s="40">
        <f>SUM(E72:G72)</f>
        <v>13956167</v>
      </c>
      <c r="I72" s="11">
        <f>I27</f>
        <v>120371.95000000001</v>
      </c>
      <c r="J72" s="13">
        <f>I72/$C$22</f>
        <v>0.32099186666666668</v>
      </c>
      <c r="K72" s="9"/>
      <c r="L72" s="9"/>
      <c r="M72" s="9"/>
      <c r="N72" s="9"/>
    </row>
    <row r="73" spans="2:14" ht="30" customHeight="1">
      <c r="B73" s="19" t="s">
        <v>102</v>
      </c>
      <c r="C73" s="19"/>
      <c r="D73" s="19"/>
      <c r="E73" s="19"/>
      <c r="F73" s="19"/>
      <c r="G73" s="19"/>
      <c r="H73" s="19"/>
      <c r="I73" s="20">
        <f>SUM(I72:I72)</f>
        <v>120371.95000000001</v>
      </c>
      <c r="J73" s="19"/>
      <c r="K73" s="19"/>
      <c r="L73" s="19"/>
      <c r="M73" s="19"/>
      <c r="N73" s="19"/>
    </row>
    <row r="74" spans="2:14" ht="24.95" customHeight="1">
      <c r="B74" s="47" t="s">
        <v>44</v>
      </c>
      <c r="C74" s="47"/>
      <c r="D74" s="47"/>
      <c r="E74" s="47"/>
      <c r="F74" s="47"/>
      <c r="G74" s="47"/>
      <c r="H74" s="47"/>
      <c r="I74" s="47"/>
      <c r="J74" s="47"/>
      <c r="K74" s="47"/>
      <c r="L74" s="47"/>
      <c r="M74" s="47"/>
      <c r="N74" s="47"/>
    </row>
    <row r="75" spans="2:14" ht="38.1" customHeight="1">
      <c r="B75" s="10" t="str">
        <f>Tarifas!B36</f>
        <v>YouTube</v>
      </c>
      <c r="C75" s="10" t="str">
        <f>Tarifas!C36</f>
        <v>Video 15–30 s</v>
      </c>
      <c r="D75" s="36">
        <f>Tarifas!E36</f>
        <v>6.9</v>
      </c>
      <c r="E75" s="40">
        <f>ROUNDDOWN(E28/$D75*1000,0)</f>
        <v>2038043</v>
      </c>
      <c r="F75" s="40">
        <f>ROUNDDOWN(F28/$D75*1000,0)</f>
        <v>2853260</v>
      </c>
      <c r="G75" s="40">
        <f>ROUNDDOWN(G28/$D75*1000,0)</f>
        <v>3260869</v>
      </c>
      <c r="H75" s="40">
        <f>SUM(E75:G75)</f>
        <v>8152172</v>
      </c>
      <c r="I75" s="11">
        <f>I28</f>
        <v>56250</v>
      </c>
      <c r="J75" s="13">
        <f>I75/$C$22</f>
        <v>0.15</v>
      </c>
      <c r="K75" s="9"/>
      <c r="L75" s="9"/>
      <c r="M75" s="9"/>
      <c r="N75" s="9"/>
    </row>
    <row r="76" spans="2:14" ht="30" customHeight="1">
      <c r="B76" s="19" t="s">
        <v>103</v>
      </c>
      <c r="C76" s="19"/>
      <c r="D76" s="19"/>
      <c r="E76" s="19"/>
      <c r="F76" s="19"/>
      <c r="G76" s="19"/>
      <c r="H76" s="19"/>
      <c r="I76" s="20">
        <f>SUM(I75:I75)</f>
        <v>56250</v>
      </c>
      <c r="J76" s="19"/>
      <c r="K76" s="19"/>
      <c r="L76" s="19"/>
      <c r="M76" s="19"/>
      <c r="N76" s="19"/>
    </row>
    <row r="78" spans="2:14" ht="24.95" customHeight="1">
      <c r="B78" s="47" t="s">
        <v>136</v>
      </c>
      <c r="C78" s="47"/>
      <c r="D78" s="47"/>
      <c r="E78" s="47"/>
      <c r="F78" s="47"/>
      <c r="G78" s="47"/>
      <c r="H78" s="47"/>
      <c r="I78" s="47"/>
      <c r="J78" s="47"/>
      <c r="K78" s="47"/>
      <c r="L78" s="47"/>
      <c r="M78" s="47"/>
      <c r="N78" s="47"/>
    </row>
    <row r="79" spans="2:14" ht="42" customHeight="1">
      <c r="B79" s="6" t="s">
        <v>38</v>
      </c>
      <c r="C79" s="7" t="s">
        <v>137</v>
      </c>
      <c r="D79" s="7" t="s">
        <v>138</v>
      </c>
      <c r="E79" s="7" t="s">
        <v>139</v>
      </c>
      <c r="F79" s="50" t="s">
        <v>140</v>
      </c>
      <c r="G79" s="51"/>
      <c r="H79" s="51"/>
      <c r="I79" s="51"/>
      <c r="J79" s="51"/>
      <c r="K79" s="51"/>
      <c r="L79" s="51"/>
      <c r="M79" s="51"/>
      <c r="N79" s="51"/>
    </row>
    <row r="80" spans="2:14" ht="60" customHeight="1">
      <c r="B80" s="10" t="s">
        <v>8</v>
      </c>
      <c r="C80" s="10" t="s">
        <v>141</v>
      </c>
      <c r="D80" s="10" t="s">
        <v>141</v>
      </c>
      <c r="E80" s="43" t="s">
        <v>141</v>
      </c>
      <c r="F80" s="48" t="s">
        <v>142</v>
      </c>
      <c r="G80" s="48"/>
      <c r="H80" s="48"/>
      <c r="I80" s="48"/>
      <c r="J80" s="48"/>
      <c r="K80" s="48"/>
      <c r="L80" s="48"/>
      <c r="M80" s="48"/>
      <c r="N80" s="48"/>
    </row>
    <row r="81" spans="2:14" ht="60" customHeight="1">
      <c r="B81" s="15" t="s">
        <v>41</v>
      </c>
      <c r="C81" s="15" t="s">
        <v>141</v>
      </c>
      <c r="D81" s="15" t="s">
        <v>141</v>
      </c>
      <c r="E81" s="44" t="s">
        <v>141</v>
      </c>
      <c r="F81" s="49" t="s">
        <v>143</v>
      </c>
      <c r="G81" s="49"/>
      <c r="H81" s="49"/>
      <c r="I81" s="49"/>
      <c r="J81" s="49"/>
      <c r="K81" s="49"/>
      <c r="L81" s="49"/>
      <c r="M81" s="49"/>
      <c r="N81" s="49"/>
    </row>
    <row r="82" spans="2:14" ht="60" customHeight="1">
      <c r="B82" s="10" t="s">
        <v>43</v>
      </c>
      <c r="C82" s="10" t="s">
        <v>141</v>
      </c>
      <c r="D82" s="10" t="s">
        <v>141</v>
      </c>
      <c r="E82" s="43">
        <f>H27</f>
        <v>13956167</v>
      </c>
      <c r="F82" s="48" t="s">
        <v>144</v>
      </c>
      <c r="G82" s="48"/>
      <c r="H82" s="48"/>
      <c r="I82" s="48"/>
      <c r="J82" s="48"/>
      <c r="K82" s="48"/>
      <c r="L82" s="48"/>
      <c r="M82" s="48"/>
      <c r="N82" s="48"/>
    </row>
    <row r="83" spans="2:14" ht="60" customHeight="1">
      <c r="B83" s="15" t="s">
        <v>44</v>
      </c>
      <c r="C83" s="15" t="s">
        <v>141</v>
      </c>
      <c r="D83" s="15" t="s">
        <v>141</v>
      </c>
      <c r="E83" s="44">
        <f>H28</f>
        <v>8152172</v>
      </c>
      <c r="F83" s="49" t="s">
        <v>144</v>
      </c>
      <c r="G83" s="49"/>
      <c r="H83" s="49"/>
      <c r="I83" s="49"/>
      <c r="J83" s="49"/>
      <c r="K83" s="49"/>
      <c r="L83" s="49"/>
      <c r="M83" s="49"/>
      <c r="N83" s="49"/>
    </row>
    <row r="87" spans="2:14" ht="24.95" customHeight="1">
      <c r="B87" s="47" t="s">
        <v>145</v>
      </c>
      <c r="C87" s="47"/>
      <c r="D87" s="47"/>
      <c r="E87" s="47"/>
      <c r="F87" s="47"/>
      <c r="G87" s="47"/>
      <c r="H87" s="47"/>
      <c r="I87" s="47"/>
      <c r="J87" s="47"/>
      <c r="K87" s="47"/>
      <c r="L87" s="47"/>
      <c r="M87" s="47"/>
      <c r="N87" s="47"/>
    </row>
    <row r="88" spans="2:14" ht="32.1" customHeight="1">
      <c r="B88" s="45" t="s">
        <v>146</v>
      </c>
      <c r="C88" s="45"/>
      <c r="D88" s="45"/>
      <c r="E88" s="45"/>
      <c r="F88" s="45"/>
      <c r="G88" s="45"/>
      <c r="H88" s="45"/>
      <c r="I88" s="45"/>
      <c r="J88" s="45"/>
      <c r="K88" s="45"/>
      <c r="L88" s="45"/>
      <c r="M88" s="45"/>
      <c r="N88" s="45"/>
    </row>
    <row r="89" spans="2:14" ht="32.1" customHeight="1">
      <c r="B89" s="45" t="s">
        <v>147</v>
      </c>
      <c r="C89" s="45"/>
      <c r="D89" s="45"/>
      <c r="E89" s="45"/>
      <c r="F89" s="45"/>
      <c r="G89" s="45"/>
      <c r="H89" s="45"/>
      <c r="I89" s="45"/>
      <c r="J89" s="45"/>
      <c r="K89" s="45"/>
      <c r="L89" s="45"/>
      <c r="M89" s="45"/>
      <c r="N89" s="45"/>
    </row>
    <row r="90" spans="2:14" ht="33.950000000000003" customHeight="1">
      <c r="B90" s="45" t="s">
        <v>148</v>
      </c>
      <c r="C90" s="45"/>
      <c r="D90" s="45"/>
      <c r="E90" s="45"/>
      <c r="F90" s="45"/>
      <c r="G90" s="45"/>
      <c r="H90" s="45"/>
      <c r="I90" s="45"/>
      <c r="J90" s="45"/>
      <c r="K90" s="45"/>
      <c r="L90" s="45"/>
      <c r="M90" s="45"/>
      <c r="N90" s="45"/>
    </row>
    <row r="91" spans="2:14">
      <c r="B91" s="2" t="s">
        <v>61</v>
      </c>
      <c r="C91" s="35">
        <f>'AGA y criterios'!D31</f>
        <v>125000</v>
      </c>
    </row>
    <row r="93" spans="2:14" ht="42" customHeight="1">
      <c r="B93" s="6" t="s">
        <v>38</v>
      </c>
      <c r="C93" s="7" t="s">
        <v>63</v>
      </c>
      <c r="D93" s="7" t="s">
        <v>64</v>
      </c>
      <c r="E93" s="7" t="s">
        <v>135</v>
      </c>
      <c r="F93" s="7" t="s">
        <v>119</v>
      </c>
      <c r="G93" s="7" t="s">
        <v>72</v>
      </c>
      <c r="H93" s="7" t="s">
        <v>2</v>
      </c>
      <c r="I93" s="8" t="s">
        <v>13</v>
      </c>
    </row>
    <row r="94" spans="2:14" ht="30.95" customHeight="1">
      <c r="B94" s="10" t="s">
        <v>8</v>
      </c>
      <c r="C94" s="10" t="s">
        <v>73</v>
      </c>
      <c r="D94" s="36">
        <f>SUM(Tarifas!E7:E12)</f>
        <v>10068.25</v>
      </c>
      <c r="E94" s="11">
        <f>ROUND($C$91*(SUM('Base de distribución'!E89,'Base de distribución'!E90)/SUM('Base de distribución'!E89,'Base de distribución'!E90,'Base de distribución'!E91,'Base de distribución'!E92,'Base de distribución'!E93,'Base de distribución'!E94,'Base de distribución'!E95,'Base de distribución'!E96,'Base de distribución'!E97,'Base de distribución'!E98)/2),2)</f>
        <v>17569.7</v>
      </c>
      <c r="F94" s="11">
        <f>ROUND($C$91*(SUM('Base de distribución'!E89,'Base de distribución'!E90)/SUM('Base de distribución'!E89,'Base de distribución'!E90,'Base de distribución'!E91,'Base de distribución'!E92,'Base de distribución'!E93,'Base de distribución'!E94,'Base de distribución'!E95,'Base de distribución'!E96,'Base de distribución'!E97,'Base de distribución'!E98)/2),2)</f>
        <v>17569.7</v>
      </c>
      <c r="G94" s="37">
        <f>SUM(G115:G120)</f>
        <v>20.940719588806395</v>
      </c>
      <c r="H94" s="11">
        <f>SUM(E94:F94)</f>
        <v>35139.4</v>
      </c>
      <c r="I94" s="13">
        <f>H94/$C$91</f>
        <v>0.28111520000000001</v>
      </c>
      <c r="J94" s="9"/>
      <c r="K94" s="9"/>
      <c r="L94" s="9"/>
      <c r="M94" s="9"/>
      <c r="N94" s="9"/>
    </row>
    <row r="95" spans="2:14" ht="30.95" customHeight="1">
      <c r="B95" s="15" t="s">
        <v>43</v>
      </c>
      <c r="C95" s="15" t="s">
        <v>75</v>
      </c>
      <c r="D95" s="38">
        <f>Tarifas!E35</f>
        <v>8.625</v>
      </c>
      <c r="E95" s="16">
        <f>ROUND($C$91*(SUM('Base de distribución'!E91,'Base de distribución'!E92)/SUM('Base de distribución'!E89,'Base de distribución'!E90,'Base de distribución'!E91,'Base de distribución'!E92,'Base de distribución'!E93,'Base de distribución'!E94,'Base de distribución'!E95,'Base de distribución'!E96,'Base de distribución'!E97,'Base de distribución'!E98)/2),2)</f>
        <v>20043.060000000001</v>
      </c>
      <c r="F95" s="16">
        <f>ROUND($C$91*(SUM('Base de distribución'!E91,'Base de distribución'!E92)/SUM('Base de distribución'!E89,'Base de distribución'!E90,'Base de distribución'!E91,'Base de distribución'!E92,'Base de distribución'!E93,'Base de distribución'!E94,'Base de distribución'!E95,'Base de distribución'!E96,'Base de distribución'!E97,'Base de distribución'!E98)/2),2)</f>
        <v>20043.060000000001</v>
      </c>
      <c r="G95" s="41">
        <f>SUM(G123:G123)</f>
        <v>4647666</v>
      </c>
      <c r="H95" s="16">
        <f>SUM(E95:F95)</f>
        <v>40086.120000000003</v>
      </c>
      <c r="I95" s="18">
        <f>H95/$C$91</f>
        <v>0.32068896000000002</v>
      </c>
      <c r="J95" s="14"/>
      <c r="K95" s="14"/>
      <c r="L95" s="14"/>
      <c r="M95" s="14"/>
      <c r="N95" s="14"/>
    </row>
    <row r="96" spans="2:14" ht="30.95" customHeight="1">
      <c r="B96" s="10" t="s">
        <v>44</v>
      </c>
      <c r="C96" s="10" t="s">
        <v>75</v>
      </c>
      <c r="D96" s="36">
        <f>Tarifas!E36</f>
        <v>6.9</v>
      </c>
      <c r="E96" s="11">
        <f>ROUND($C$91*(SUM('Base de distribución'!E93,'Base de distribución'!E94)/SUM('Base de distribución'!E89,'Base de distribución'!E90,'Base de distribución'!E91,'Base de distribución'!E92,'Base de distribución'!E93,'Base de distribución'!E94,'Base de distribución'!E95,'Base de distribución'!E96,'Base de distribución'!E97,'Base de distribución'!E98)/2),2)</f>
        <v>12500</v>
      </c>
      <c r="F96" s="11">
        <f>ROUND($C$91*(SUM('Base de distribución'!E93,'Base de distribución'!E94)/SUM('Base de distribución'!E89,'Base de distribución'!E90,'Base de distribución'!E91,'Base de distribución'!E92,'Base de distribución'!E93,'Base de distribución'!E94,'Base de distribución'!E95,'Base de distribución'!E96,'Base de distribución'!E97,'Base de distribución'!E98)/2),2)</f>
        <v>12500</v>
      </c>
      <c r="G96" s="40">
        <f>SUM(G126:G126)</f>
        <v>3623188</v>
      </c>
      <c r="H96" s="11">
        <f>SUM(E96:F96)</f>
        <v>25000</v>
      </c>
      <c r="I96" s="13">
        <f>H96/$C$91</f>
        <v>0.2</v>
      </c>
      <c r="J96" s="9"/>
      <c r="K96" s="9"/>
      <c r="L96" s="9"/>
      <c r="M96" s="9"/>
      <c r="N96" s="9"/>
    </row>
    <row r="97" spans="2:14" ht="30.95" customHeight="1">
      <c r="B97" s="15" t="s">
        <v>45</v>
      </c>
      <c r="C97" s="15" t="s">
        <v>75</v>
      </c>
      <c r="D97" s="38">
        <f>Tarifas!E37</f>
        <v>9.1999999999999993</v>
      </c>
      <c r="E97" s="16">
        <f>ROUND($C$91*(SUM('Base de distribución'!E95,'Base de distribución'!E96)/SUM('Base de distribución'!E89,'Base de distribución'!E90,'Base de distribución'!E91,'Base de distribución'!E92,'Base de distribución'!E93,'Base de distribución'!E94,'Base de distribución'!E95,'Base de distribución'!E96,'Base de distribución'!E97,'Base de distribución'!E98)/2),2)</f>
        <v>3125</v>
      </c>
      <c r="F97" s="16">
        <f>ROUND($C$91*(SUM('Base de distribución'!E95,'Base de distribución'!E96)/SUM('Base de distribución'!E89,'Base de distribución'!E90,'Base de distribución'!E91,'Base de distribución'!E92,'Base de distribución'!E93,'Base de distribución'!E94,'Base de distribución'!E95,'Base de distribución'!E96,'Base de distribución'!E97,'Base de distribución'!E98)/2),2)</f>
        <v>3125</v>
      </c>
      <c r="G97" s="41">
        <f>SUM(G129:G129)</f>
        <v>679346</v>
      </c>
      <c r="H97" s="16">
        <f>SUM(E97:F97)</f>
        <v>6250</v>
      </c>
      <c r="I97" s="18">
        <f>H97/$C$91</f>
        <v>0.05</v>
      </c>
      <c r="J97" s="14"/>
      <c r="K97" s="14"/>
      <c r="L97" s="14"/>
      <c r="M97" s="14"/>
      <c r="N97" s="14"/>
    </row>
    <row r="98" spans="2:14" ht="30.95" customHeight="1">
      <c r="B98" s="10" t="s">
        <v>47</v>
      </c>
      <c r="C98" s="10" t="s">
        <v>77</v>
      </c>
      <c r="D98" s="36">
        <f>Tarifas!E39</f>
        <v>2875</v>
      </c>
      <c r="E98" s="11">
        <f>ROUND($C$91*(SUM('Base de distribución'!E97,'Base de distribución'!E98)/SUM('Base de distribución'!E89,'Base de distribución'!E90,'Base de distribución'!E91,'Base de distribución'!E92,'Base de distribución'!E93,'Base de distribución'!E94,'Base de distribución'!E95,'Base de distribución'!E96,'Base de distribución'!E97,'Base de distribución'!E98)/2),2)</f>
        <v>9262.24</v>
      </c>
      <c r="F98" s="11">
        <f>ROUND($C$91-SUM(E94:F94,E95:F95,E96:F96,E97:F97,E98:E98),2)</f>
        <v>9262.24</v>
      </c>
      <c r="G98" s="37">
        <f>G132*Tarifas!F39</f>
        <v>19.329892173913041</v>
      </c>
      <c r="H98" s="11">
        <f>SUM(E98:F98)</f>
        <v>18524.48</v>
      </c>
      <c r="I98" s="13">
        <f>H98/$C$91</f>
        <v>0.14819584</v>
      </c>
      <c r="J98" s="9"/>
      <c r="K98" s="9"/>
      <c r="L98" s="9"/>
      <c r="M98" s="9"/>
      <c r="N98" s="9"/>
    </row>
    <row r="99" spans="2:14" ht="30" customHeight="1">
      <c r="B99" s="19" t="s">
        <v>78</v>
      </c>
      <c r="C99" s="19"/>
      <c r="D99" s="19"/>
      <c r="E99" s="20">
        <f>SUM(E94:E98)</f>
        <v>62500</v>
      </c>
      <c r="F99" s="20">
        <f>SUM(F94:F98)</f>
        <v>62500</v>
      </c>
      <c r="G99" s="19"/>
      <c r="H99" s="20">
        <f>SUM(H94:H98)</f>
        <v>125000</v>
      </c>
      <c r="I99" s="22">
        <f>SUM(I94:I98)</f>
        <v>1.0000000000000002</v>
      </c>
      <c r="J99" s="19"/>
      <c r="K99" s="19"/>
      <c r="L99" s="19"/>
      <c r="M99" s="19"/>
      <c r="N99" s="19"/>
    </row>
    <row r="100" spans="2:14">
      <c r="B100" s="2" t="s">
        <v>79</v>
      </c>
      <c r="C100" s="42">
        <f>ROUND(C91-H99,2)</f>
        <v>0</v>
      </c>
    </row>
    <row r="101" spans="2:14" ht="32.1" customHeight="1">
      <c r="B101" s="45" t="s">
        <v>80</v>
      </c>
      <c r="C101" s="45"/>
      <c r="D101" s="45"/>
      <c r="E101" s="45"/>
      <c r="F101" s="45"/>
      <c r="G101" s="45"/>
      <c r="H101" s="45"/>
      <c r="I101" s="45"/>
      <c r="J101" s="45"/>
      <c r="K101" s="45"/>
      <c r="L101" s="45"/>
      <c r="M101" s="45"/>
      <c r="N101" s="45"/>
    </row>
    <row r="102" spans="2:14" ht="32.1" customHeight="1">
      <c r="B102" s="45" t="s">
        <v>81</v>
      </c>
      <c r="C102" s="45"/>
      <c r="D102" s="45"/>
      <c r="E102" s="45"/>
      <c r="F102" s="45"/>
      <c r="G102" s="45"/>
      <c r="H102" s="45"/>
      <c r="I102" s="45"/>
      <c r="J102" s="45"/>
      <c r="K102" s="45"/>
      <c r="L102" s="45"/>
      <c r="M102" s="45"/>
      <c r="N102" s="45"/>
    </row>
    <row r="104" spans="2:14" ht="24.95" customHeight="1">
      <c r="B104" s="47" t="s">
        <v>82</v>
      </c>
      <c r="C104" s="47"/>
      <c r="D104" s="47"/>
      <c r="E104" s="47"/>
      <c r="F104" s="47"/>
      <c r="G104" s="47"/>
      <c r="H104" s="47"/>
      <c r="I104" s="47"/>
      <c r="J104" s="47"/>
      <c r="K104" s="47"/>
      <c r="L104" s="47"/>
      <c r="M104" s="47"/>
      <c r="N104" s="47"/>
    </row>
    <row r="105" spans="2:14" ht="42" customHeight="1">
      <c r="B105" s="6" t="s">
        <v>38</v>
      </c>
      <c r="C105" s="7" t="s">
        <v>83</v>
      </c>
      <c r="D105" s="7" t="s">
        <v>84</v>
      </c>
      <c r="E105" s="7" t="s">
        <v>135</v>
      </c>
      <c r="F105" s="8" t="s">
        <v>119</v>
      </c>
    </row>
    <row r="106" spans="2:14" ht="44.1" customHeight="1">
      <c r="B106" s="10" t="s">
        <v>8</v>
      </c>
      <c r="C106" s="10" t="s">
        <v>85</v>
      </c>
      <c r="D106" s="10" t="s">
        <v>86</v>
      </c>
      <c r="E106" s="9" t="s">
        <v>135</v>
      </c>
      <c r="F106" s="9" t="s">
        <v>119</v>
      </c>
      <c r="G106" s="9"/>
      <c r="H106" s="9"/>
      <c r="I106" s="9"/>
      <c r="J106" s="9"/>
      <c r="K106" s="9"/>
      <c r="L106" s="9"/>
      <c r="M106" s="9"/>
      <c r="N106" s="9"/>
    </row>
    <row r="107" spans="2:14" ht="44.1" customHeight="1">
      <c r="B107" s="15" t="s">
        <v>43</v>
      </c>
      <c r="C107" s="15" t="s">
        <v>89</v>
      </c>
      <c r="D107" s="15" t="s">
        <v>86</v>
      </c>
      <c r="E107" s="14" t="s">
        <v>135</v>
      </c>
      <c r="F107" s="14" t="s">
        <v>119</v>
      </c>
      <c r="G107" s="14"/>
      <c r="H107" s="14"/>
      <c r="I107" s="14"/>
      <c r="J107" s="14"/>
      <c r="K107" s="14"/>
      <c r="L107" s="14"/>
      <c r="M107" s="14"/>
      <c r="N107" s="14"/>
    </row>
    <row r="108" spans="2:14" ht="44.1" customHeight="1">
      <c r="B108" s="10" t="s">
        <v>44</v>
      </c>
      <c r="C108" s="10" t="s">
        <v>90</v>
      </c>
      <c r="D108" s="10" t="s">
        <v>86</v>
      </c>
      <c r="E108" s="9" t="s">
        <v>135</v>
      </c>
      <c r="F108" s="9" t="s">
        <v>119</v>
      </c>
      <c r="G108" s="9"/>
      <c r="H108" s="9"/>
      <c r="I108" s="9"/>
      <c r="J108" s="9"/>
      <c r="K108" s="9"/>
      <c r="L108" s="9"/>
      <c r="M108" s="9"/>
      <c r="N108" s="9"/>
    </row>
    <row r="109" spans="2:14" ht="44.1" customHeight="1">
      <c r="B109" s="15" t="s">
        <v>45</v>
      </c>
      <c r="C109" s="15" t="s">
        <v>149</v>
      </c>
      <c r="D109" s="15" t="s">
        <v>86</v>
      </c>
      <c r="E109" s="14" t="s">
        <v>135</v>
      </c>
      <c r="F109" s="14" t="s">
        <v>119</v>
      </c>
      <c r="G109" s="14"/>
      <c r="H109" s="14"/>
      <c r="I109" s="14"/>
      <c r="J109" s="14"/>
      <c r="K109" s="14"/>
      <c r="L109" s="14"/>
      <c r="M109" s="14"/>
      <c r="N109" s="14"/>
    </row>
    <row r="110" spans="2:14" ht="44.1" customHeight="1">
      <c r="B110" s="10" t="s">
        <v>47</v>
      </c>
      <c r="C110" s="10" t="s">
        <v>92</v>
      </c>
      <c r="D110" s="10" t="s">
        <v>86</v>
      </c>
      <c r="E110" s="9" t="s">
        <v>135</v>
      </c>
      <c r="F110" s="9" t="s">
        <v>119</v>
      </c>
      <c r="G110" s="9"/>
      <c r="H110" s="9"/>
      <c r="I110" s="9"/>
      <c r="J110" s="9"/>
      <c r="K110" s="9"/>
      <c r="L110" s="9"/>
      <c r="M110" s="9"/>
      <c r="N110" s="9"/>
    </row>
    <row r="112" spans="2:14" ht="24.95" customHeight="1">
      <c r="B112" s="47" t="s">
        <v>93</v>
      </c>
      <c r="C112" s="47"/>
      <c r="D112" s="47"/>
      <c r="E112" s="47"/>
      <c r="F112" s="47"/>
      <c r="G112" s="47"/>
      <c r="H112" s="47"/>
      <c r="I112" s="47"/>
      <c r="J112" s="47"/>
      <c r="K112" s="47"/>
      <c r="L112" s="47"/>
      <c r="M112" s="47"/>
      <c r="N112" s="47"/>
    </row>
    <row r="113" spans="2:14" ht="42" customHeight="1">
      <c r="B113" s="6" t="s">
        <v>94</v>
      </c>
      <c r="C113" s="7" t="s">
        <v>95</v>
      </c>
      <c r="D113" s="7" t="s">
        <v>64</v>
      </c>
      <c r="E113" s="7" t="s">
        <v>135</v>
      </c>
      <c r="F113" s="7" t="s">
        <v>119</v>
      </c>
      <c r="G113" s="7" t="s">
        <v>96</v>
      </c>
      <c r="H113" s="7" t="s">
        <v>2</v>
      </c>
      <c r="I113" s="8" t="s">
        <v>97</v>
      </c>
    </row>
    <row r="114" spans="2:14" ht="24.95" customHeight="1">
      <c r="B114" s="47" t="s">
        <v>8</v>
      </c>
      <c r="C114" s="47"/>
      <c r="D114" s="47"/>
      <c r="E114" s="47"/>
      <c r="F114" s="47"/>
      <c r="G114" s="47"/>
      <c r="H114" s="47"/>
      <c r="I114" s="47"/>
      <c r="J114" s="47"/>
      <c r="K114" s="47"/>
      <c r="L114" s="47"/>
      <c r="M114" s="47"/>
      <c r="N114" s="47"/>
    </row>
    <row r="115" spans="2:14" ht="38.1" customHeight="1">
      <c r="B115" s="10" t="str">
        <f>Tarifas!B7</f>
        <v>Telemundo</v>
      </c>
      <c r="C115" s="10" t="str">
        <f>Tarifas!C7</f>
        <v>Dia a Dia</v>
      </c>
      <c r="D115" s="36">
        <f>Tarifas!E7</f>
        <v>782</v>
      </c>
      <c r="E115" s="37">
        <f>E94/$D$94</f>
        <v>1.7450599657338663</v>
      </c>
      <c r="F115" s="37">
        <f>F94/$D$94</f>
        <v>1.7450599657338663</v>
      </c>
      <c r="G115" s="37">
        <f t="shared" ref="G115:G120" si="6">SUM(E115:F115)</f>
        <v>3.4901199314677327</v>
      </c>
      <c r="H115" s="11">
        <f>ROUND(G115*D115,2)</f>
        <v>2729.27</v>
      </c>
      <c r="I115" s="13">
        <f t="shared" ref="I115:I120" si="7">H115/$C$91</f>
        <v>2.1834159999999998E-2</v>
      </c>
      <c r="J115" s="9"/>
      <c r="K115" s="9"/>
      <c r="L115" s="9"/>
      <c r="M115" s="9"/>
      <c r="N115" s="9"/>
    </row>
    <row r="116" spans="2:14" ht="38.1" customHeight="1">
      <c r="B116" s="15" t="str">
        <f>Tarifas!B8</f>
        <v>Telemundo</v>
      </c>
      <c r="C116" s="15" t="str">
        <f>Tarifas!C8</f>
        <v>PR Gana 6pm (M,W,T,f,Su)</v>
      </c>
      <c r="D116" s="38">
        <f>Tarifas!E8</f>
        <v>2541.5</v>
      </c>
      <c r="E116" s="39">
        <f>E94/$D$94</f>
        <v>1.7450599657338663</v>
      </c>
      <c r="F116" s="39">
        <f>F94/$D$94</f>
        <v>1.7450599657338663</v>
      </c>
      <c r="G116" s="39">
        <f t="shared" si="6"/>
        <v>3.4901199314677327</v>
      </c>
      <c r="H116" s="16">
        <f>ROUND(G116*D116,2)</f>
        <v>8870.14</v>
      </c>
      <c r="I116" s="18">
        <f t="shared" si="7"/>
        <v>7.0961119999999989E-2</v>
      </c>
      <c r="J116" s="14"/>
      <c r="K116" s="14"/>
      <c r="L116" s="14"/>
      <c r="M116" s="14"/>
      <c r="N116" s="14"/>
    </row>
    <row r="117" spans="2:14" ht="38.1" customHeight="1">
      <c r="B117" s="10" t="str">
        <f>Tarifas!B9</f>
        <v>WAPA</v>
      </c>
      <c r="C117" s="10" t="str">
        <f>Tarifas!C9</f>
        <v>Pegate al MedioDIa</v>
      </c>
      <c r="D117" s="36">
        <f>Tarifas!E9</f>
        <v>977.5</v>
      </c>
      <c r="E117" s="37">
        <f>E94/$D$94</f>
        <v>1.7450599657338663</v>
      </c>
      <c r="F117" s="37">
        <f>F94/$D$94</f>
        <v>1.7450599657338663</v>
      </c>
      <c r="G117" s="37">
        <f t="shared" si="6"/>
        <v>3.4901199314677327</v>
      </c>
      <c r="H117" s="11">
        <f>ROUND(G117*D117,2)</f>
        <v>3411.59</v>
      </c>
      <c r="I117" s="13">
        <f t="shared" si="7"/>
        <v>2.7292719999999999E-2</v>
      </c>
      <c r="J117" s="9"/>
      <c r="K117" s="9"/>
      <c r="L117" s="9"/>
      <c r="M117" s="9"/>
      <c r="N117" s="9"/>
    </row>
    <row r="118" spans="2:14" ht="38.1" customHeight="1">
      <c r="B118" s="15" t="str">
        <f>Tarifas!B10</f>
        <v>WAPA</v>
      </c>
      <c r="C118" s="15" t="str">
        <f>Tarifas!C10</f>
        <v>Reality-Funcion Estelar 7p</v>
      </c>
      <c r="D118" s="38">
        <f>Tarifas!E10</f>
        <v>3519</v>
      </c>
      <c r="E118" s="39">
        <f>E94/$D$94</f>
        <v>1.7450599657338663</v>
      </c>
      <c r="F118" s="39">
        <f>F94/$D$94</f>
        <v>1.7450599657338663</v>
      </c>
      <c r="G118" s="39">
        <f t="shared" si="6"/>
        <v>3.4901199314677327</v>
      </c>
      <c r="H118" s="16">
        <f>ROUND(G118*D118,2)</f>
        <v>12281.73</v>
      </c>
      <c r="I118" s="18">
        <f t="shared" si="7"/>
        <v>9.8253839999999995E-2</v>
      </c>
      <c r="J118" s="14"/>
      <c r="K118" s="14"/>
      <c r="L118" s="14"/>
      <c r="M118" s="14"/>
      <c r="N118" s="14"/>
    </row>
    <row r="119" spans="2:14" ht="38.1" customHeight="1">
      <c r="B119" s="10" t="str">
        <f>Tarifas!B11</f>
        <v>TeleOnce</v>
      </c>
      <c r="C119" s="10" t="str">
        <f>Tarifas!C11</f>
        <v>PR en Vivo</v>
      </c>
      <c r="D119" s="36">
        <f>Tarifas!E11</f>
        <v>586.5</v>
      </c>
      <c r="E119" s="37">
        <f>E94/$D$94</f>
        <v>1.7450599657338663</v>
      </c>
      <c r="F119" s="37">
        <f>F94/$D$94</f>
        <v>1.7450599657338663</v>
      </c>
      <c r="G119" s="37">
        <f t="shared" si="6"/>
        <v>3.4901199314677327</v>
      </c>
      <c r="H119" s="11">
        <f>ROUND(G119*D119,2)</f>
        <v>2046.96</v>
      </c>
      <c r="I119" s="13">
        <f t="shared" si="7"/>
        <v>1.637568E-2</v>
      </c>
      <c r="J119" s="9"/>
      <c r="K119" s="9"/>
      <c r="L119" s="9"/>
      <c r="M119" s="9"/>
      <c r="N119" s="9"/>
    </row>
    <row r="120" spans="2:14" ht="38.1" customHeight="1">
      <c r="B120" s="15" t="str">
        <f>Tarifas!B12</f>
        <v>TeleOnce</v>
      </c>
      <c r="C120" s="15" t="str">
        <f>Tarifas!C12</f>
        <v>Las Noticias Prime</v>
      </c>
      <c r="D120" s="38">
        <f>Tarifas!E12</f>
        <v>1661.75</v>
      </c>
      <c r="E120" s="39">
        <f>E94/$D$94</f>
        <v>1.7450599657338663</v>
      </c>
      <c r="F120" s="39">
        <f>F94/$D$94</f>
        <v>1.7450599657338663</v>
      </c>
      <c r="G120" s="39">
        <f t="shared" si="6"/>
        <v>3.4901199314677327</v>
      </c>
      <c r="H120" s="16">
        <f>ROUND(H94-SUM(H115:H119),2)</f>
        <v>5799.71</v>
      </c>
      <c r="I120" s="18">
        <f t="shared" si="7"/>
        <v>4.6397680000000004E-2</v>
      </c>
      <c r="J120" s="14"/>
      <c r="K120" s="14"/>
      <c r="L120" s="14"/>
      <c r="M120" s="14"/>
      <c r="N120" s="14"/>
    </row>
    <row r="121" spans="2:14" ht="30" customHeight="1">
      <c r="B121" s="19" t="s">
        <v>98</v>
      </c>
      <c r="C121" s="19"/>
      <c r="D121" s="19"/>
      <c r="E121" s="19"/>
      <c r="F121" s="19"/>
      <c r="G121" s="19"/>
      <c r="H121" s="20">
        <f>SUM(H115:H120)</f>
        <v>35139.4</v>
      </c>
      <c r="I121" s="19"/>
      <c r="J121" s="19"/>
      <c r="K121" s="19"/>
      <c r="L121" s="19"/>
      <c r="M121" s="19"/>
      <c r="N121" s="19"/>
    </row>
    <row r="122" spans="2:14" ht="24.95" customHeight="1">
      <c r="B122" s="47" t="s">
        <v>43</v>
      </c>
      <c r="C122" s="47"/>
      <c r="D122" s="47"/>
      <c r="E122" s="47"/>
      <c r="F122" s="47"/>
      <c r="G122" s="47"/>
      <c r="H122" s="47"/>
      <c r="I122" s="47"/>
      <c r="J122" s="47"/>
      <c r="K122" s="47"/>
      <c r="L122" s="47"/>
      <c r="M122" s="47"/>
      <c r="N122" s="47"/>
    </row>
    <row r="123" spans="2:14" ht="38.1" customHeight="1">
      <c r="B123" s="10" t="str">
        <f>Tarifas!B35</f>
        <v>Meta</v>
      </c>
      <c r="C123" s="10" t="str">
        <f>Tarifas!C35</f>
        <v>Video / Reels / Stories</v>
      </c>
      <c r="D123" s="36">
        <f>Tarifas!E35</f>
        <v>8.625</v>
      </c>
      <c r="E123" s="40">
        <f>ROUNDDOWN(E95/$D123*1000,0)</f>
        <v>2323833</v>
      </c>
      <c r="F123" s="40">
        <f>ROUNDDOWN(F95/$D123*1000,0)</f>
        <v>2323833</v>
      </c>
      <c r="G123" s="40">
        <f>SUM(E123:F123)</f>
        <v>4647666</v>
      </c>
      <c r="H123" s="11">
        <f>H95</f>
        <v>40086.120000000003</v>
      </c>
      <c r="I123" s="13">
        <f>H123/$C$91</f>
        <v>0.32068896000000002</v>
      </c>
      <c r="J123" s="9"/>
      <c r="K123" s="9"/>
      <c r="L123" s="9"/>
      <c r="M123" s="9"/>
      <c r="N123" s="9"/>
    </row>
    <row r="124" spans="2:14" ht="30" customHeight="1">
      <c r="B124" s="19" t="s">
        <v>102</v>
      </c>
      <c r="C124" s="19"/>
      <c r="D124" s="19"/>
      <c r="E124" s="19"/>
      <c r="F124" s="19"/>
      <c r="G124" s="19"/>
      <c r="H124" s="20">
        <f>SUM(H123:H123)</f>
        <v>40086.120000000003</v>
      </c>
      <c r="I124" s="19"/>
      <c r="J124" s="19"/>
      <c r="K124" s="19"/>
      <c r="L124" s="19"/>
      <c r="M124" s="19"/>
      <c r="N124" s="19"/>
    </row>
    <row r="125" spans="2:14" ht="24.95" customHeight="1">
      <c r="B125" s="47" t="s">
        <v>44</v>
      </c>
      <c r="C125" s="47"/>
      <c r="D125" s="47"/>
      <c r="E125" s="47"/>
      <c r="F125" s="47"/>
      <c r="G125" s="47"/>
      <c r="H125" s="47"/>
      <c r="I125" s="47"/>
      <c r="J125" s="47"/>
      <c r="K125" s="47"/>
      <c r="L125" s="47"/>
      <c r="M125" s="47"/>
      <c r="N125" s="47"/>
    </row>
    <row r="126" spans="2:14" ht="38.1" customHeight="1">
      <c r="B126" s="10" t="str">
        <f>Tarifas!B36</f>
        <v>YouTube</v>
      </c>
      <c r="C126" s="10" t="str">
        <f>Tarifas!C36</f>
        <v>Video 15–30 s</v>
      </c>
      <c r="D126" s="36">
        <f>Tarifas!E36</f>
        <v>6.9</v>
      </c>
      <c r="E126" s="40">
        <f>ROUNDDOWN(E96/$D126*1000,0)</f>
        <v>1811594</v>
      </c>
      <c r="F126" s="40">
        <f>ROUNDDOWN(F96/$D126*1000,0)</f>
        <v>1811594</v>
      </c>
      <c r="G126" s="40">
        <f>SUM(E126:F126)</f>
        <v>3623188</v>
      </c>
      <c r="H126" s="11">
        <f>H96</f>
        <v>25000</v>
      </c>
      <c r="I126" s="13">
        <f>H126/$C$91</f>
        <v>0.2</v>
      </c>
      <c r="J126" s="9"/>
      <c r="K126" s="9"/>
      <c r="L126" s="9"/>
      <c r="M126" s="9"/>
      <c r="N126" s="9"/>
    </row>
    <row r="127" spans="2:14" ht="30" customHeight="1">
      <c r="B127" s="19" t="s">
        <v>103</v>
      </c>
      <c r="C127" s="19"/>
      <c r="D127" s="19"/>
      <c r="E127" s="19"/>
      <c r="F127" s="19"/>
      <c r="G127" s="19"/>
      <c r="H127" s="20">
        <f>SUM(H126:H126)</f>
        <v>25000</v>
      </c>
      <c r="I127" s="19"/>
      <c r="J127" s="19"/>
      <c r="K127" s="19"/>
      <c r="L127" s="19"/>
      <c r="M127" s="19"/>
      <c r="N127" s="19"/>
    </row>
    <row r="128" spans="2:14" ht="24.95" customHeight="1">
      <c r="B128" s="47" t="s">
        <v>45</v>
      </c>
      <c r="C128" s="47"/>
      <c r="D128" s="47"/>
      <c r="E128" s="47"/>
      <c r="F128" s="47"/>
      <c r="G128" s="47"/>
      <c r="H128" s="47"/>
      <c r="I128" s="47"/>
      <c r="J128" s="47"/>
      <c r="K128" s="47"/>
      <c r="L128" s="47"/>
      <c r="M128" s="47"/>
      <c r="N128" s="47"/>
    </row>
    <row r="129" spans="2:14" ht="38.1" customHeight="1">
      <c r="B129" s="10" t="str">
        <f>Tarifas!B37</f>
        <v>Programática</v>
      </c>
      <c r="C129" s="10" t="str">
        <f>Tarifas!C37</f>
        <v>Display premium local</v>
      </c>
      <c r="D129" s="36">
        <f>Tarifas!E37</f>
        <v>9.1999999999999993</v>
      </c>
      <c r="E129" s="40">
        <f>ROUNDDOWN(E97/$D129*1000,0)</f>
        <v>339673</v>
      </c>
      <c r="F129" s="40">
        <f>ROUNDDOWN(F97/$D129*1000,0)</f>
        <v>339673</v>
      </c>
      <c r="G129" s="40">
        <f>SUM(E129:F129)</f>
        <v>679346</v>
      </c>
      <c r="H129" s="11">
        <f>H97</f>
        <v>6250</v>
      </c>
      <c r="I129" s="13">
        <f>H129/$C$91</f>
        <v>0.05</v>
      </c>
      <c r="J129" s="9"/>
      <c r="K129" s="9"/>
      <c r="L129" s="9"/>
      <c r="M129" s="9"/>
      <c r="N129" s="9"/>
    </row>
    <row r="130" spans="2:14" ht="30" customHeight="1">
      <c r="B130" s="19" t="s">
        <v>150</v>
      </c>
      <c r="C130" s="19"/>
      <c r="D130" s="19"/>
      <c r="E130" s="19"/>
      <c r="F130" s="19"/>
      <c r="G130" s="19"/>
      <c r="H130" s="20">
        <f>SUM(H129:H129)</f>
        <v>6250</v>
      </c>
      <c r="I130" s="19"/>
      <c r="J130" s="19"/>
      <c r="K130" s="19"/>
      <c r="L130" s="19"/>
      <c r="M130" s="19"/>
      <c r="N130" s="19"/>
    </row>
    <row r="131" spans="2:14" ht="24.95" customHeight="1">
      <c r="B131" s="47" t="s">
        <v>47</v>
      </c>
      <c r="C131" s="47"/>
      <c r="D131" s="47"/>
      <c r="E131" s="47"/>
      <c r="F131" s="47"/>
      <c r="G131" s="47"/>
      <c r="H131" s="47"/>
      <c r="I131" s="47"/>
      <c r="J131" s="47"/>
      <c r="K131" s="47"/>
      <c r="L131" s="47"/>
      <c r="M131" s="47"/>
      <c r="N131" s="47"/>
    </row>
    <row r="132" spans="2:14" ht="38.1" customHeight="1">
      <c r="B132" s="10" t="str">
        <f>Tarifas!B39</f>
        <v>Creadores e integraciones</v>
      </c>
      <c r="C132" s="10" t="str">
        <f>Tarifas!C39</f>
        <v>1 video + 2 Stories</v>
      </c>
      <c r="D132" s="36">
        <f>Tarifas!E39</f>
        <v>2875</v>
      </c>
      <c r="E132" s="37">
        <f>E98/$D$98</f>
        <v>3.2216486956521737</v>
      </c>
      <c r="F132" s="37">
        <f>F98/$D$98</f>
        <v>3.2216486956521737</v>
      </c>
      <c r="G132" s="37">
        <f>SUM(E132:F132)</f>
        <v>6.4432973913043474</v>
      </c>
      <c r="H132" s="11">
        <f>H98</f>
        <v>18524.48</v>
      </c>
      <c r="I132" s="13">
        <f>H132/$C$91</f>
        <v>0.14819584</v>
      </c>
      <c r="J132" s="9"/>
      <c r="K132" s="9"/>
      <c r="L132" s="9"/>
      <c r="M132" s="9"/>
      <c r="N132" s="9"/>
    </row>
    <row r="133" spans="2:14" ht="30" customHeight="1">
      <c r="B133" s="19" t="s">
        <v>105</v>
      </c>
      <c r="C133" s="19"/>
      <c r="D133" s="19"/>
      <c r="E133" s="19"/>
      <c r="F133" s="19"/>
      <c r="G133" s="19"/>
      <c r="H133" s="20">
        <f>SUM(H132:H132)</f>
        <v>18524.48</v>
      </c>
      <c r="I133" s="19"/>
      <c r="J133" s="19"/>
      <c r="K133" s="19"/>
      <c r="L133" s="19"/>
      <c r="M133" s="19"/>
      <c r="N133" s="19"/>
    </row>
    <row r="134" spans="2:14" ht="27.95" customHeight="1">
      <c r="B134" s="45" t="s">
        <v>106</v>
      </c>
      <c r="C134" s="45"/>
      <c r="D134" s="45"/>
      <c r="E134" s="45"/>
      <c r="F134" s="45"/>
      <c r="G134" s="45"/>
      <c r="H134" s="45"/>
      <c r="I134" s="45"/>
      <c r="J134" s="45"/>
      <c r="K134" s="45"/>
      <c r="L134" s="45"/>
      <c r="M134" s="45"/>
      <c r="N134" s="45"/>
    </row>
    <row r="136" spans="2:14" ht="24.95" customHeight="1">
      <c r="B136" s="47" t="s">
        <v>136</v>
      </c>
      <c r="C136" s="47"/>
      <c r="D136" s="47"/>
      <c r="E136" s="47"/>
      <c r="F136" s="47"/>
      <c r="G136" s="47"/>
      <c r="H136" s="47"/>
      <c r="I136" s="47"/>
      <c r="J136" s="47"/>
      <c r="K136" s="47"/>
      <c r="L136" s="47"/>
      <c r="M136" s="47"/>
      <c r="N136" s="47"/>
    </row>
    <row r="137" spans="2:14" ht="42" customHeight="1">
      <c r="B137" s="6" t="s">
        <v>38</v>
      </c>
      <c r="C137" s="7" t="s">
        <v>137</v>
      </c>
      <c r="D137" s="7" t="s">
        <v>138</v>
      </c>
      <c r="E137" s="7" t="s">
        <v>139</v>
      </c>
      <c r="F137" s="50" t="s">
        <v>140</v>
      </c>
      <c r="G137" s="51"/>
      <c r="H137" s="51"/>
      <c r="I137" s="51"/>
      <c r="J137" s="51"/>
      <c r="K137" s="51"/>
      <c r="L137" s="51"/>
      <c r="M137" s="51"/>
      <c r="N137" s="51"/>
    </row>
    <row r="138" spans="2:14" ht="60" customHeight="1">
      <c r="B138" s="10" t="s">
        <v>8</v>
      </c>
      <c r="C138" s="10" t="s">
        <v>141</v>
      </c>
      <c r="D138" s="10" t="s">
        <v>141</v>
      </c>
      <c r="E138" s="43" t="s">
        <v>141</v>
      </c>
      <c r="F138" s="48" t="s">
        <v>142</v>
      </c>
      <c r="G138" s="48"/>
      <c r="H138" s="48"/>
      <c r="I138" s="48"/>
      <c r="J138" s="48"/>
      <c r="K138" s="48"/>
      <c r="L138" s="48"/>
      <c r="M138" s="48"/>
      <c r="N138" s="48"/>
    </row>
    <row r="139" spans="2:14" ht="60" customHeight="1">
      <c r="B139" s="15" t="s">
        <v>43</v>
      </c>
      <c r="C139" s="15" t="s">
        <v>141</v>
      </c>
      <c r="D139" s="15" t="s">
        <v>141</v>
      </c>
      <c r="E139" s="44">
        <f>G95</f>
        <v>4647666</v>
      </c>
      <c r="F139" s="49" t="s">
        <v>144</v>
      </c>
      <c r="G139" s="49"/>
      <c r="H139" s="49"/>
      <c r="I139" s="49"/>
      <c r="J139" s="49"/>
      <c r="K139" s="49"/>
      <c r="L139" s="49"/>
      <c r="M139" s="49"/>
      <c r="N139" s="49"/>
    </row>
    <row r="140" spans="2:14" ht="60" customHeight="1">
      <c r="B140" s="10" t="s">
        <v>44</v>
      </c>
      <c r="C140" s="10" t="s">
        <v>141</v>
      </c>
      <c r="D140" s="10" t="s">
        <v>141</v>
      </c>
      <c r="E140" s="43">
        <f>G96</f>
        <v>3623188</v>
      </c>
      <c r="F140" s="48" t="s">
        <v>144</v>
      </c>
      <c r="G140" s="48"/>
      <c r="H140" s="48"/>
      <c r="I140" s="48"/>
      <c r="J140" s="48"/>
      <c r="K140" s="48"/>
      <c r="L140" s="48"/>
      <c r="M140" s="48"/>
      <c r="N140" s="48"/>
    </row>
    <row r="141" spans="2:14" ht="60" customHeight="1">
      <c r="B141" s="15" t="s">
        <v>45</v>
      </c>
      <c r="C141" s="15" t="s">
        <v>141</v>
      </c>
      <c r="D141" s="15" t="s">
        <v>141</v>
      </c>
      <c r="E141" s="44">
        <f>G97</f>
        <v>679346</v>
      </c>
      <c r="F141" s="49" t="s">
        <v>144</v>
      </c>
      <c r="G141" s="49"/>
      <c r="H141" s="49"/>
      <c r="I141" s="49"/>
      <c r="J141" s="49"/>
      <c r="K141" s="49"/>
      <c r="L141" s="49"/>
      <c r="M141" s="49"/>
      <c r="N141" s="49"/>
    </row>
    <row r="142" spans="2:14" ht="60" customHeight="1">
      <c r="B142" s="10" t="s">
        <v>47</v>
      </c>
      <c r="C142" s="10" t="s">
        <v>141</v>
      </c>
      <c r="D142" s="10" t="s">
        <v>141</v>
      </c>
      <c r="E142" s="43" t="s">
        <v>141</v>
      </c>
      <c r="F142" s="48" t="s">
        <v>151</v>
      </c>
      <c r="G142" s="48"/>
      <c r="H142" s="48"/>
      <c r="I142" s="48"/>
      <c r="J142" s="48"/>
      <c r="K142" s="48"/>
      <c r="L142" s="48"/>
      <c r="M142" s="48"/>
      <c r="N142" s="48"/>
    </row>
    <row r="146" spans="2:14" ht="24.95" customHeight="1">
      <c r="B146" s="47" t="s">
        <v>152</v>
      </c>
      <c r="C146" s="47"/>
      <c r="D146" s="47"/>
      <c r="E146" s="47"/>
      <c r="F146" s="47"/>
      <c r="G146" s="47"/>
      <c r="H146" s="47"/>
      <c r="I146" s="47"/>
      <c r="J146" s="47"/>
      <c r="K146" s="47"/>
      <c r="L146" s="47"/>
      <c r="M146" s="47"/>
      <c r="N146" s="47"/>
    </row>
    <row r="147" spans="2:14" ht="32.1" customHeight="1">
      <c r="B147" s="45" t="s">
        <v>153</v>
      </c>
      <c r="C147" s="45"/>
      <c r="D147" s="45"/>
      <c r="E147" s="45"/>
      <c r="F147" s="45"/>
      <c r="G147" s="45"/>
      <c r="H147" s="45"/>
      <c r="I147" s="45"/>
      <c r="J147" s="45"/>
      <c r="K147" s="45"/>
      <c r="L147" s="45"/>
      <c r="M147" s="45"/>
      <c r="N147" s="45"/>
    </row>
    <row r="148" spans="2:14" ht="32.1" customHeight="1">
      <c r="B148" s="45" t="s">
        <v>154</v>
      </c>
      <c r="C148" s="45"/>
      <c r="D148" s="45"/>
      <c r="E148" s="45"/>
      <c r="F148" s="45"/>
      <c r="G148" s="45"/>
      <c r="H148" s="45"/>
      <c r="I148" s="45"/>
      <c r="J148" s="45"/>
      <c r="K148" s="45"/>
      <c r="L148" s="45"/>
      <c r="M148" s="45"/>
      <c r="N148" s="45"/>
    </row>
    <row r="149" spans="2:14" ht="33.950000000000003" customHeight="1">
      <c r="B149" s="45" t="s">
        <v>155</v>
      </c>
      <c r="C149" s="45"/>
      <c r="D149" s="45"/>
      <c r="E149" s="45"/>
      <c r="F149" s="45"/>
      <c r="G149" s="45"/>
      <c r="H149" s="45"/>
      <c r="I149" s="45"/>
      <c r="J149" s="45"/>
      <c r="K149" s="45"/>
      <c r="L149" s="45"/>
      <c r="M149" s="45"/>
      <c r="N149" s="45"/>
    </row>
    <row r="150" spans="2:14">
      <c r="B150" s="2" t="s">
        <v>61</v>
      </c>
      <c r="C150" s="35">
        <f>'AGA y criterios'!D32</f>
        <v>125000</v>
      </c>
    </row>
    <row r="152" spans="2:14" ht="42" customHeight="1">
      <c r="B152" s="6" t="s">
        <v>38</v>
      </c>
      <c r="C152" s="7" t="s">
        <v>63</v>
      </c>
      <c r="D152" s="7" t="s">
        <v>64</v>
      </c>
      <c r="E152" s="7" t="s">
        <v>67</v>
      </c>
      <c r="F152" s="7" t="s">
        <v>71</v>
      </c>
      <c r="G152" s="7" t="s">
        <v>72</v>
      </c>
      <c r="H152" s="7" t="s">
        <v>2</v>
      </c>
      <c r="I152" s="8" t="s">
        <v>13</v>
      </c>
    </row>
    <row r="153" spans="2:14" ht="30.95" customHeight="1">
      <c r="B153" s="10" t="s">
        <v>8</v>
      </c>
      <c r="C153" s="10" t="s">
        <v>73</v>
      </c>
      <c r="D153" s="36">
        <f>SUM(Tarifas!E7:E12)</f>
        <v>10068.25</v>
      </c>
      <c r="E153" s="11">
        <f>ROUND($C$150*('Base de distribución'!E89/SUM('Base de distribución'!E89,'Base de distribución'!E90,'Base de distribución'!E91,'Base de distribución'!E92,'Base de distribución'!E93,'Base de distribución'!E94,'Base de distribución'!E95,'Base de distribución'!E96,'Base de distribución'!E97,'Base de distribución'!E98)),2)</f>
        <v>10812.13</v>
      </c>
      <c r="F153" s="11">
        <f>ROUND($C$150*('Base de distribución'!E90/SUM('Base de distribución'!E89,'Base de distribución'!E90,'Base de distribución'!E91,'Base de distribución'!E92,'Base de distribución'!E93,'Base de distribución'!E94,'Base de distribución'!E95,'Base de distribución'!E96,'Base de distribución'!E97,'Base de distribución'!E98)),2)</f>
        <v>24327.279999999999</v>
      </c>
      <c r="G153" s="37">
        <f>SUM(G174:G179)</f>
        <v>20.940725548133987</v>
      </c>
      <c r="H153" s="11">
        <f>SUM(E153:F153)</f>
        <v>35139.409999999996</v>
      </c>
      <c r="I153" s="13">
        <f>H153/$C$150</f>
        <v>0.28111527999999997</v>
      </c>
      <c r="J153" s="9"/>
      <c r="K153" s="9"/>
      <c r="L153" s="9"/>
      <c r="M153" s="9"/>
      <c r="N153" s="9"/>
    </row>
    <row r="154" spans="2:14" ht="30.95" customHeight="1">
      <c r="B154" s="15" t="s">
        <v>43</v>
      </c>
      <c r="C154" s="15" t="s">
        <v>75</v>
      </c>
      <c r="D154" s="38">
        <f>Tarifas!E35</f>
        <v>8.625</v>
      </c>
      <c r="E154" s="16">
        <f>ROUND($C$150*('Base de distribución'!E91/SUM('Base de distribución'!E89,'Base de distribución'!E90,'Base de distribución'!E91,'Base de distribución'!E92,'Base de distribución'!E93,'Base de distribución'!E94,'Base de distribución'!E95,'Base de distribución'!E96,'Base de distribución'!E97,'Base de distribución'!E98)),2)</f>
        <v>11909.9</v>
      </c>
      <c r="F154" s="16">
        <f>ROUND($C$150*('Base de distribución'!E92/SUM('Base de distribución'!E89,'Base de distribución'!E90,'Base de distribución'!E91,'Base de distribución'!E92,'Base de distribución'!E93,'Base de distribución'!E94,'Base de distribución'!E95,'Base de distribución'!E96,'Base de distribución'!E97,'Base de distribución'!E98)),2)</f>
        <v>28176.21</v>
      </c>
      <c r="G154" s="41">
        <f>SUM(G182:G182)</f>
        <v>4647663</v>
      </c>
      <c r="H154" s="16">
        <f>SUM(E154:F154)</f>
        <v>40086.11</v>
      </c>
      <c r="I154" s="18">
        <f>H154/$C$150</f>
        <v>0.32068888000000001</v>
      </c>
      <c r="J154" s="14"/>
      <c r="K154" s="14"/>
      <c r="L154" s="14"/>
      <c r="M154" s="14"/>
      <c r="N154" s="14"/>
    </row>
    <row r="155" spans="2:14" ht="30.95" customHeight="1">
      <c r="B155" s="10" t="s">
        <v>44</v>
      </c>
      <c r="C155" s="10" t="s">
        <v>75</v>
      </c>
      <c r="D155" s="36">
        <f>Tarifas!E36</f>
        <v>6.9</v>
      </c>
      <c r="E155" s="11">
        <f>ROUND($C$150*('Base de distribución'!E93/SUM('Base de distribución'!E89,'Base de distribución'!E90,'Base de distribución'!E91,'Base de distribución'!E92,'Base de distribución'!E93,'Base de distribución'!E94,'Base de distribución'!E95,'Base de distribución'!E96,'Base de distribución'!E97,'Base de distribución'!E98)),2)</f>
        <v>7500</v>
      </c>
      <c r="F155" s="11">
        <f>ROUND($C$150*('Base de distribución'!E94/SUM('Base de distribución'!E89,'Base de distribución'!E90,'Base de distribución'!E91,'Base de distribución'!E92,'Base de distribución'!E93,'Base de distribución'!E94,'Base de distribución'!E95,'Base de distribución'!E96,'Base de distribución'!E97,'Base de distribución'!E98)),2)</f>
        <v>17500</v>
      </c>
      <c r="G155" s="40">
        <f>SUM(G185:G185)</f>
        <v>3623187</v>
      </c>
      <c r="H155" s="11">
        <f>SUM(E155:F155)</f>
        <v>25000</v>
      </c>
      <c r="I155" s="13">
        <f>H155/$C$150</f>
        <v>0.2</v>
      </c>
      <c r="J155" s="9"/>
      <c r="K155" s="9"/>
      <c r="L155" s="9"/>
      <c r="M155" s="9"/>
      <c r="N155" s="9"/>
    </row>
    <row r="156" spans="2:14" ht="30.95" customHeight="1">
      <c r="B156" s="15" t="s">
        <v>45</v>
      </c>
      <c r="C156" s="15" t="s">
        <v>75</v>
      </c>
      <c r="D156" s="38">
        <f>Tarifas!E37</f>
        <v>9.1999999999999993</v>
      </c>
      <c r="E156" s="16">
        <f>ROUND($C$150*('Base de distribución'!E95/SUM('Base de distribución'!E89,'Base de distribución'!E90,'Base de distribución'!E91,'Base de distribución'!E92,'Base de distribución'!E93,'Base de distribución'!E94,'Base de distribución'!E95,'Base de distribución'!E96,'Base de distribución'!E97,'Base de distribución'!E98)),2)</f>
        <v>1875</v>
      </c>
      <c r="F156" s="16">
        <f>ROUND($C$150*('Base de distribución'!E96/SUM('Base de distribución'!E89,'Base de distribución'!E90,'Base de distribución'!E91,'Base de distribución'!E92,'Base de distribución'!E93,'Base de distribución'!E94,'Base de distribución'!E95,'Base de distribución'!E96,'Base de distribución'!E97,'Base de distribución'!E98)),2)</f>
        <v>4375</v>
      </c>
      <c r="G156" s="41">
        <f>SUM(G188:G188)</f>
        <v>679347</v>
      </c>
      <c r="H156" s="16">
        <f>SUM(E156:F156)</f>
        <v>6250</v>
      </c>
      <c r="I156" s="18">
        <f>H156/$C$150</f>
        <v>0.05</v>
      </c>
      <c r="J156" s="14"/>
      <c r="K156" s="14"/>
      <c r="L156" s="14"/>
      <c r="M156" s="14"/>
      <c r="N156" s="14"/>
    </row>
    <row r="157" spans="2:14" ht="30.95" customHeight="1">
      <c r="B157" s="10" t="s">
        <v>47</v>
      </c>
      <c r="C157" s="10" t="s">
        <v>77</v>
      </c>
      <c r="D157" s="36">
        <f>Tarifas!E39</f>
        <v>2875</v>
      </c>
      <c r="E157" s="11">
        <f>ROUND($C$150*('Base de distribución'!E97/SUM('Base de distribución'!E89,'Base de distribución'!E90,'Base de distribución'!E91,'Base de distribución'!E92,'Base de distribución'!E93,'Base de distribución'!E94,'Base de distribución'!E95,'Base de distribución'!E96,'Base de distribución'!E97,'Base de distribución'!E98)),2)</f>
        <v>5402.97</v>
      </c>
      <c r="F157" s="11">
        <f>ROUND($C$150-SUM(E153:F153,E154:F154,E155:F155,E156:F156,E157:E157),2)</f>
        <v>13121.51</v>
      </c>
      <c r="G157" s="37">
        <f>G191*Tarifas!F39</f>
        <v>19.329892173913045</v>
      </c>
      <c r="H157" s="11">
        <f>SUM(E157:F157)</f>
        <v>18524.48</v>
      </c>
      <c r="I157" s="13">
        <f>H157/$C$150</f>
        <v>0.14819584</v>
      </c>
      <c r="J157" s="9"/>
      <c r="K157" s="9"/>
      <c r="L157" s="9"/>
      <c r="M157" s="9"/>
      <c r="N157" s="9"/>
    </row>
    <row r="158" spans="2:14" ht="30" customHeight="1">
      <c r="B158" s="19" t="s">
        <v>78</v>
      </c>
      <c r="C158" s="19"/>
      <c r="D158" s="19"/>
      <c r="E158" s="20">
        <f>SUM(E153:E157)</f>
        <v>37500</v>
      </c>
      <c r="F158" s="20">
        <f>SUM(F153:F157)</f>
        <v>87499.999999999985</v>
      </c>
      <c r="G158" s="19"/>
      <c r="H158" s="20">
        <f>SUM(H153:H157)</f>
        <v>124999.99999999999</v>
      </c>
      <c r="I158" s="22">
        <f>SUM(I153:I157)</f>
        <v>0.99999999999999989</v>
      </c>
      <c r="J158" s="19"/>
      <c r="K158" s="19"/>
      <c r="L158" s="19"/>
      <c r="M158" s="19"/>
      <c r="N158" s="19"/>
    </row>
    <row r="159" spans="2:14">
      <c r="B159" s="2" t="s">
        <v>79</v>
      </c>
      <c r="C159" s="42">
        <f>ROUND(C150-H158,2)</f>
        <v>0</v>
      </c>
    </row>
    <row r="160" spans="2:14" ht="32.1" customHeight="1">
      <c r="B160" s="45" t="s">
        <v>80</v>
      </c>
      <c r="C160" s="45"/>
      <c r="D160" s="45"/>
      <c r="E160" s="45"/>
      <c r="F160" s="45"/>
      <c r="G160" s="45"/>
      <c r="H160" s="45"/>
      <c r="I160" s="45"/>
      <c r="J160" s="45"/>
      <c r="K160" s="45"/>
      <c r="L160" s="45"/>
      <c r="M160" s="45"/>
      <c r="N160" s="45"/>
    </row>
    <row r="161" spans="2:14" ht="32.1" customHeight="1">
      <c r="B161" s="45" t="s">
        <v>81</v>
      </c>
      <c r="C161" s="45"/>
      <c r="D161" s="45"/>
      <c r="E161" s="45"/>
      <c r="F161" s="45"/>
      <c r="G161" s="45"/>
      <c r="H161" s="45"/>
      <c r="I161" s="45"/>
      <c r="J161" s="45"/>
      <c r="K161" s="45"/>
      <c r="L161" s="45"/>
      <c r="M161" s="45"/>
      <c r="N161" s="45"/>
    </row>
    <row r="163" spans="2:14" ht="24.95" customHeight="1">
      <c r="B163" s="47" t="s">
        <v>82</v>
      </c>
      <c r="C163" s="47"/>
      <c r="D163" s="47"/>
      <c r="E163" s="47"/>
      <c r="F163" s="47"/>
      <c r="G163" s="47"/>
      <c r="H163" s="47"/>
      <c r="I163" s="47"/>
      <c r="J163" s="47"/>
      <c r="K163" s="47"/>
      <c r="L163" s="47"/>
      <c r="M163" s="47"/>
      <c r="N163" s="47"/>
    </row>
    <row r="164" spans="2:14" ht="42" customHeight="1">
      <c r="B164" s="6" t="s">
        <v>38</v>
      </c>
      <c r="C164" s="7" t="s">
        <v>83</v>
      </c>
      <c r="D164" s="7" t="s">
        <v>84</v>
      </c>
      <c r="E164" s="7" t="s">
        <v>67</v>
      </c>
      <c r="F164" s="8" t="s">
        <v>71</v>
      </c>
    </row>
    <row r="165" spans="2:14" ht="44.1" customHeight="1">
      <c r="B165" s="10" t="s">
        <v>8</v>
      </c>
      <c r="C165" s="10" t="s">
        <v>85</v>
      </c>
      <c r="D165" s="10" t="s">
        <v>86</v>
      </c>
      <c r="E165" s="9" t="s">
        <v>67</v>
      </c>
      <c r="F165" s="9" t="s">
        <v>71</v>
      </c>
      <c r="G165" s="9"/>
      <c r="H165" s="9"/>
      <c r="I165" s="9"/>
      <c r="J165" s="9"/>
      <c r="K165" s="9"/>
      <c r="L165" s="9"/>
      <c r="M165" s="9"/>
      <c r="N165" s="9"/>
    </row>
    <row r="166" spans="2:14" ht="44.1" customHeight="1">
      <c r="B166" s="15" t="s">
        <v>43</v>
      </c>
      <c r="C166" s="15" t="s">
        <v>89</v>
      </c>
      <c r="D166" s="15" t="s">
        <v>86</v>
      </c>
      <c r="E166" s="14" t="s">
        <v>67</v>
      </c>
      <c r="F166" s="14" t="s">
        <v>71</v>
      </c>
      <c r="G166" s="14"/>
      <c r="H166" s="14"/>
      <c r="I166" s="14"/>
      <c r="J166" s="14"/>
      <c r="K166" s="14"/>
      <c r="L166" s="14"/>
      <c r="M166" s="14"/>
      <c r="N166" s="14"/>
    </row>
    <row r="167" spans="2:14" ht="44.1" customHeight="1">
      <c r="B167" s="10" t="s">
        <v>44</v>
      </c>
      <c r="C167" s="10" t="s">
        <v>90</v>
      </c>
      <c r="D167" s="10" t="s">
        <v>86</v>
      </c>
      <c r="E167" s="9" t="s">
        <v>67</v>
      </c>
      <c r="F167" s="9" t="s">
        <v>71</v>
      </c>
      <c r="G167" s="9"/>
      <c r="H167" s="9"/>
      <c r="I167" s="9"/>
      <c r="J167" s="9"/>
      <c r="K167" s="9"/>
      <c r="L167" s="9"/>
      <c r="M167" s="9"/>
      <c r="N167" s="9"/>
    </row>
    <row r="168" spans="2:14" ht="44.1" customHeight="1">
      <c r="B168" s="15" t="s">
        <v>45</v>
      </c>
      <c r="C168" s="15" t="s">
        <v>149</v>
      </c>
      <c r="D168" s="15" t="s">
        <v>86</v>
      </c>
      <c r="E168" s="14" t="s">
        <v>67</v>
      </c>
      <c r="F168" s="14" t="s">
        <v>71</v>
      </c>
      <c r="G168" s="14"/>
      <c r="H168" s="14"/>
      <c r="I168" s="14"/>
      <c r="J168" s="14"/>
      <c r="K168" s="14"/>
      <c r="L168" s="14"/>
      <c r="M168" s="14"/>
      <c r="N168" s="14"/>
    </row>
    <row r="169" spans="2:14" ht="44.1" customHeight="1">
      <c r="B169" s="10" t="s">
        <v>47</v>
      </c>
      <c r="C169" s="10" t="s">
        <v>92</v>
      </c>
      <c r="D169" s="10" t="s">
        <v>86</v>
      </c>
      <c r="E169" s="9" t="s">
        <v>67</v>
      </c>
      <c r="F169" s="9" t="s">
        <v>71</v>
      </c>
      <c r="G169" s="9"/>
      <c r="H169" s="9"/>
      <c r="I169" s="9"/>
      <c r="J169" s="9"/>
      <c r="K169" s="9"/>
      <c r="L169" s="9"/>
      <c r="M169" s="9"/>
      <c r="N169" s="9"/>
    </row>
    <row r="171" spans="2:14" ht="24.95" customHeight="1">
      <c r="B171" s="47" t="s">
        <v>93</v>
      </c>
      <c r="C171" s="47"/>
      <c r="D171" s="47"/>
      <c r="E171" s="47"/>
      <c r="F171" s="47"/>
      <c r="G171" s="47"/>
      <c r="H171" s="47"/>
      <c r="I171" s="47"/>
      <c r="J171" s="47"/>
      <c r="K171" s="47"/>
      <c r="L171" s="47"/>
      <c r="M171" s="47"/>
      <c r="N171" s="47"/>
    </row>
    <row r="172" spans="2:14" ht="42" customHeight="1">
      <c r="B172" s="6" t="s">
        <v>94</v>
      </c>
      <c r="C172" s="7" t="s">
        <v>95</v>
      </c>
      <c r="D172" s="7" t="s">
        <v>64</v>
      </c>
      <c r="E172" s="7" t="s">
        <v>67</v>
      </c>
      <c r="F172" s="7" t="s">
        <v>71</v>
      </c>
      <c r="G172" s="7" t="s">
        <v>96</v>
      </c>
      <c r="H172" s="7" t="s">
        <v>2</v>
      </c>
      <c r="I172" s="8" t="s">
        <v>97</v>
      </c>
    </row>
    <row r="173" spans="2:14" ht="24.95" customHeight="1">
      <c r="B173" s="47" t="s">
        <v>8</v>
      </c>
      <c r="C173" s="47"/>
      <c r="D173" s="47"/>
      <c r="E173" s="47"/>
      <c r="F173" s="47"/>
      <c r="G173" s="47"/>
      <c r="H173" s="47"/>
      <c r="I173" s="47"/>
      <c r="J173" s="47"/>
      <c r="K173" s="47"/>
      <c r="L173" s="47"/>
      <c r="M173" s="47"/>
      <c r="N173" s="47"/>
    </row>
    <row r="174" spans="2:14" ht="38.1" customHeight="1">
      <c r="B174" s="10" t="str">
        <f>Tarifas!B7</f>
        <v>Telemundo</v>
      </c>
      <c r="C174" s="10" t="str">
        <f>Tarifas!C7</f>
        <v>Dia a Dia</v>
      </c>
      <c r="D174" s="36">
        <f>Tarifas!E7</f>
        <v>782</v>
      </c>
      <c r="E174" s="37">
        <f>E153/$D$153</f>
        <v>1.0738837434509472</v>
      </c>
      <c r="F174" s="37">
        <f>F153/$D$153</f>
        <v>2.4162371812380501</v>
      </c>
      <c r="G174" s="37">
        <f t="shared" ref="G174:G179" si="8">SUM(E174:F174)</f>
        <v>3.4901209246889975</v>
      </c>
      <c r="H174" s="11">
        <f>ROUND(G174*D174,2)</f>
        <v>2729.27</v>
      </c>
      <c r="I174" s="13">
        <f t="shared" ref="I174:I179" si="9">H174/$C$150</f>
        <v>2.1834159999999998E-2</v>
      </c>
      <c r="J174" s="9"/>
      <c r="K174" s="9"/>
      <c r="L174" s="9"/>
      <c r="M174" s="9"/>
      <c r="N174" s="9"/>
    </row>
    <row r="175" spans="2:14" ht="38.1" customHeight="1">
      <c r="B175" s="15" t="str">
        <f>Tarifas!B8</f>
        <v>Telemundo</v>
      </c>
      <c r="C175" s="15" t="str">
        <f>Tarifas!C8</f>
        <v>PR Gana 6pm (M,W,T,f,Su)</v>
      </c>
      <c r="D175" s="38">
        <f>Tarifas!E8</f>
        <v>2541.5</v>
      </c>
      <c r="E175" s="39">
        <f>E153/$D$153</f>
        <v>1.0738837434509472</v>
      </c>
      <c r="F175" s="39">
        <f>F153/$D$153</f>
        <v>2.4162371812380501</v>
      </c>
      <c r="G175" s="39">
        <f t="shared" si="8"/>
        <v>3.4901209246889975</v>
      </c>
      <c r="H175" s="16">
        <f>ROUND(G175*D175,2)</f>
        <v>8870.14</v>
      </c>
      <c r="I175" s="18">
        <f t="shared" si="9"/>
        <v>7.0961119999999989E-2</v>
      </c>
      <c r="J175" s="14"/>
      <c r="K175" s="14"/>
      <c r="L175" s="14"/>
      <c r="M175" s="14"/>
      <c r="N175" s="14"/>
    </row>
    <row r="176" spans="2:14" ht="38.1" customHeight="1">
      <c r="B176" s="10" t="str">
        <f>Tarifas!B9</f>
        <v>WAPA</v>
      </c>
      <c r="C176" s="10" t="str">
        <f>Tarifas!C9</f>
        <v>Pegate al MedioDIa</v>
      </c>
      <c r="D176" s="36">
        <f>Tarifas!E9</f>
        <v>977.5</v>
      </c>
      <c r="E176" s="37">
        <f>E153/$D$153</f>
        <v>1.0738837434509472</v>
      </c>
      <c r="F176" s="37">
        <f>F153/$D$153</f>
        <v>2.4162371812380501</v>
      </c>
      <c r="G176" s="37">
        <f t="shared" si="8"/>
        <v>3.4901209246889975</v>
      </c>
      <c r="H176" s="11">
        <f>ROUND(G176*D176,2)</f>
        <v>3411.59</v>
      </c>
      <c r="I176" s="13">
        <f t="shared" si="9"/>
        <v>2.7292719999999999E-2</v>
      </c>
      <c r="J176" s="9"/>
      <c r="K176" s="9"/>
      <c r="L176" s="9"/>
      <c r="M176" s="9"/>
      <c r="N176" s="9"/>
    </row>
    <row r="177" spans="2:14" ht="38.1" customHeight="1">
      <c r="B177" s="15" t="str">
        <f>Tarifas!B10</f>
        <v>WAPA</v>
      </c>
      <c r="C177" s="15" t="str">
        <f>Tarifas!C10</f>
        <v>Reality-Funcion Estelar 7p</v>
      </c>
      <c r="D177" s="38">
        <f>Tarifas!E10</f>
        <v>3519</v>
      </c>
      <c r="E177" s="39">
        <f>E153/$D$153</f>
        <v>1.0738837434509472</v>
      </c>
      <c r="F177" s="39">
        <f>F153/$D$153</f>
        <v>2.4162371812380501</v>
      </c>
      <c r="G177" s="39">
        <f t="shared" si="8"/>
        <v>3.4901209246889975</v>
      </c>
      <c r="H177" s="16">
        <f>ROUND(G177*D177,2)</f>
        <v>12281.74</v>
      </c>
      <c r="I177" s="18">
        <f t="shared" si="9"/>
        <v>9.8253919999999995E-2</v>
      </c>
      <c r="J177" s="14"/>
      <c r="K177" s="14"/>
      <c r="L177" s="14"/>
      <c r="M177" s="14"/>
      <c r="N177" s="14"/>
    </row>
    <row r="178" spans="2:14" ht="38.1" customHeight="1">
      <c r="B178" s="10" t="str">
        <f>Tarifas!B11</f>
        <v>TeleOnce</v>
      </c>
      <c r="C178" s="10" t="str">
        <f>Tarifas!C11</f>
        <v>PR en Vivo</v>
      </c>
      <c r="D178" s="36">
        <f>Tarifas!E11</f>
        <v>586.5</v>
      </c>
      <c r="E178" s="37">
        <f>E153/$D$153</f>
        <v>1.0738837434509472</v>
      </c>
      <c r="F178" s="37">
        <f>F153/$D$153</f>
        <v>2.4162371812380501</v>
      </c>
      <c r="G178" s="37">
        <f t="shared" si="8"/>
        <v>3.4901209246889975</v>
      </c>
      <c r="H178" s="11">
        <f>ROUND(G178*D178,2)</f>
        <v>2046.96</v>
      </c>
      <c r="I178" s="13">
        <f t="shared" si="9"/>
        <v>1.637568E-2</v>
      </c>
      <c r="J178" s="9"/>
      <c r="K178" s="9"/>
      <c r="L178" s="9"/>
      <c r="M178" s="9"/>
      <c r="N178" s="9"/>
    </row>
    <row r="179" spans="2:14" ht="38.1" customHeight="1">
      <c r="B179" s="15" t="str">
        <f>Tarifas!B12</f>
        <v>TeleOnce</v>
      </c>
      <c r="C179" s="15" t="str">
        <f>Tarifas!C12</f>
        <v>Las Noticias Prime</v>
      </c>
      <c r="D179" s="38">
        <f>Tarifas!E12</f>
        <v>1661.75</v>
      </c>
      <c r="E179" s="39">
        <f>E153/$D$153</f>
        <v>1.0738837434509472</v>
      </c>
      <c r="F179" s="39">
        <f>F153/$D$153</f>
        <v>2.4162371812380501</v>
      </c>
      <c r="G179" s="39">
        <f t="shared" si="8"/>
        <v>3.4901209246889975</v>
      </c>
      <c r="H179" s="16">
        <f>ROUND(H153-SUM(H174:H178),2)</f>
        <v>5799.71</v>
      </c>
      <c r="I179" s="18">
        <f t="shared" si="9"/>
        <v>4.6397680000000004E-2</v>
      </c>
      <c r="J179" s="14"/>
      <c r="K179" s="14"/>
      <c r="L179" s="14"/>
      <c r="M179" s="14"/>
      <c r="N179" s="14"/>
    </row>
    <row r="180" spans="2:14" ht="30" customHeight="1">
      <c r="B180" s="19" t="s">
        <v>98</v>
      </c>
      <c r="C180" s="19"/>
      <c r="D180" s="19"/>
      <c r="E180" s="19"/>
      <c r="F180" s="19"/>
      <c r="G180" s="19"/>
      <c r="H180" s="20">
        <f>SUM(H174:H179)</f>
        <v>35139.409999999996</v>
      </c>
      <c r="I180" s="19"/>
      <c r="J180" s="19"/>
      <c r="K180" s="19"/>
      <c r="L180" s="19"/>
      <c r="M180" s="19"/>
      <c r="N180" s="19"/>
    </row>
    <row r="181" spans="2:14" ht="24.95" customHeight="1">
      <c r="B181" s="47" t="s">
        <v>43</v>
      </c>
      <c r="C181" s="47"/>
      <c r="D181" s="47"/>
      <c r="E181" s="47"/>
      <c r="F181" s="47"/>
      <c r="G181" s="47"/>
      <c r="H181" s="47"/>
      <c r="I181" s="47"/>
      <c r="J181" s="47"/>
      <c r="K181" s="47"/>
      <c r="L181" s="47"/>
      <c r="M181" s="47"/>
      <c r="N181" s="47"/>
    </row>
    <row r="182" spans="2:14" ht="38.1" customHeight="1">
      <c r="B182" s="10" t="str">
        <f>Tarifas!B35</f>
        <v>Meta</v>
      </c>
      <c r="C182" s="10" t="str">
        <f>Tarifas!C35</f>
        <v>Video / Reels / Stories</v>
      </c>
      <c r="D182" s="36">
        <f>Tarifas!E35</f>
        <v>8.625</v>
      </c>
      <c r="E182" s="40">
        <f>ROUNDDOWN(E154/$D182*1000,0)</f>
        <v>1380857</v>
      </c>
      <c r="F182" s="40">
        <f>ROUNDDOWN(F154/$D182*1000,0)</f>
        <v>3266806</v>
      </c>
      <c r="G182" s="40">
        <f>SUM(E182:F182)</f>
        <v>4647663</v>
      </c>
      <c r="H182" s="11">
        <f>H154</f>
        <v>40086.11</v>
      </c>
      <c r="I182" s="13">
        <f>H182/$C$150</f>
        <v>0.32068888000000001</v>
      </c>
      <c r="J182" s="9"/>
      <c r="K182" s="9"/>
      <c r="L182" s="9"/>
      <c r="M182" s="9"/>
      <c r="N182" s="9"/>
    </row>
    <row r="183" spans="2:14" ht="30" customHeight="1">
      <c r="B183" s="19" t="s">
        <v>102</v>
      </c>
      <c r="C183" s="19"/>
      <c r="D183" s="19"/>
      <c r="E183" s="19"/>
      <c r="F183" s="19"/>
      <c r="G183" s="19"/>
      <c r="H183" s="20">
        <f>SUM(H182:H182)</f>
        <v>40086.11</v>
      </c>
      <c r="I183" s="19"/>
      <c r="J183" s="19"/>
      <c r="K183" s="19"/>
      <c r="L183" s="19"/>
      <c r="M183" s="19"/>
      <c r="N183" s="19"/>
    </row>
    <row r="184" spans="2:14" ht="24.95" customHeight="1">
      <c r="B184" s="47" t="s">
        <v>44</v>
      </c>
      <c r="C184" s="47"/>
      <c r="D184" s="47"/>
      <c r="E184" s="47"/>
      <c r="F184" s="47"/>
      <c r="G184" s="47"/>
      <c r="H184" s="47"/>
      <c r="I184" s="47"/>
      <c r="J184" s="47"/>
      <c r="K184" s="47"/>
      <c r="L184" s="47"/>
      <c r="M184" s="47"/>
      <c r="N184" s="47"/>
    </row>
    <row r="185" spans="2:14" ht="38.1" customHeight="1">
      <c r="B185" s="10" t="str">
        <f>Tarifas!B36</f>
        <v>YouTube</v>
      </c>
      <c r="C185" s="10" t="str">
        <f>Tarifas!C36</f>
        <v>Video 15–30 s</v>
      </c>
      <c r="D185" s="36">
        <f>Tarifas!E36</f>
        <v>6.9</v>
      </c>
      <c r="E185" s="40">
        <f>ROUNDDOWN(E155/$D185*1000,0)</f>
        <v>1086956</v>
      </c>
      <c r="F185" s="40">
        <f>ROUNDDOWN(F155/$D185*1000,0)</f>
        <v>2536231</v>
      </c>
      <c r="G185" s="40">
        <f>SUM(E185:F185)</f>
        <v>3623187</v>
      </c>
      <c r="H185" s="11">
        <f>H155</f>
        <v>25000</v>
      </c>
      <c r="I185" s="13">
        <f>H185/$C$150</f>
        <v>0.2</v>
      </c>
      <c r="J185" s="9"/>
      <c r="K185" s="9"/>
      <c r="L185" s="9"/>
      <c r="M185" s="9"/>
      <c r="N185" s="9"/>
    </row>
    <row r="186" spans="2:14" ht="30" customHeight="1">
      <c r="B186" s="19" t="s">
        <v>103</v>
      </c>
      <c r="C186" s="19"/>
      <c r="D186" s="19"/>
      <c r="E186" s="19"/>
      <c r="F186" s="19"/>
      <c r="G186" s="19"/>
      <c r="H186" s="20">
        <f>SUM(H185:H185)</f>
        <v>25000</v>
      </c>
      <c r="I186" s="19"/>
      <c r="J186" s="19"/>
      <c r="K186" s="19"/>
      <c r="L186" s="19"/>
      <c r="M186" s="19"/>
      <c r="N186" s="19"/>
    </row>
    <row r="187" spans="2:14" ht="24.95" customHeight="1">
      <c r="B187" s="47" t="s">
        <v>45</v>
      </c>
      <c r="C187" s="47"/>
      <c r="D187" s="47"/>
      <c r="E187" s="47"/>
      <c r="F187" s="47"/>
      <c r="G187" s="47"/>
      <c r="H187" s="47"/>
      <c r="I187" s="47"/>
      <c r="J187" s="47"/>
      <c r="K187" s="47"/>
      <c r="L187" s="47"/>
      <c r="M187" s="47"/>
      <c r="N187" s="47"/>
    </row>
    <row r="188" spans="2:14" ht="38.1" customHeight="1">
      <c r="B188" s="10" t="str">
        <f>Tarifas!B37</f>
        <v>Programática</v>
      </c>
      <c r="C188" s="10" t="str">
        <f>Tarifas!C37</f>
        <v>Display premium local</v>
      </c>
      <c r="D188" s="36">
        <f>Tarifas!E37</f>
        <v>9.1999999999999993</v>
      </c>
      <c r="E188" s="40">
        <f>ROUNDDOWN(E156/$D188*1000,0)</f>
        <v>203804</v>
      </c>
      <c r="F188" s="40">
        <f>ROUNDDOWN(F156/$D188*1000,0)</f>
        <v>475543</v>
      </c>
      <c r="G188" s="40">
        <f>SUM(E188:F188)</f>
        <v>679347</v>
      </c>
      <c r="H188" s="11">
        <f>H156</f>
        <v>6250</v>
      </c>
      <c r="I188" s="13">
        <f>H188/$C$150</f>
        <v>0.05</v>
      </c>
      <c r="J188" s="9"/>
      <c r="K188" s="9"/>
      <c r="L188" s="9"/>
      <c r="M188" s="9"/>
      <c r="N188" s="9"/>
    </row>
    <row r="189" spans="2:14" ht="30" customHeight="1">
      <c r="B189" s="19" t="s">
        <v>150</v>
      </c>
      <c r="C189" s="19"/>
      <c r="D189" s="19"/>
      <c r="E189" s="19"/>
      <c r="F189" s="19"/>
      <c r="G189" s="19"/>
      <c r="H189" s="20">
        <f>SUM(H188:H188)</f>
        <v>6250</v>
      </c>
      <c r="I189" s="19"/>
      <c r="J189" s="19"/>
      <c r="K189" s="19"/>
      <c r="L189" s="19"/>
      <c r="M189" s="19"/>
      <c r="N189" s="19"/>
    </row>
    <row r="190" spans="2:14" ht="24.95" customHeight="1">
      <c r="B190" s="47" t="s">
        <v>47</v>
      </c>
      <c r="C190" s="47"/>
      <c r="D190" s="47"/>
      <c r="E190" s="47"/>
      <c r="F190" s="47"/>
      <c r="G190" s="47"/>
      <c r="H190" s="47"/>
      <c r="I190" s="47"/>
      <c r="J190" s="47"/>
      <c r="K190" s="47"/>
      <c r="L190" s="47"/>
      <c r="M190" s="47"/>
      <c r="N190" s="47"/>
    </row>
    <row r="191" spans="2:14" ht="38.1" customHeight="1">
      <c r="B191" s="10" t="str">
        <f>Tarifas!B39</f>
        <v>Creadores e integraciones</v>
      </c>
      <c r="C191" s="10" t="str">
        <f>Tarifas!C39</f>
        <v>1 video + 2 Stories</v>
      </c>
      <c r="D191" s="36">
        <f>Tarifas!E39</f>
        <v>2875</v>
      </c>
      <c r="E191" s="37">
        <f>E157/$D$157</f>
        <v>1.8792939130434783</v>
      </c>
      <c r="F191" s="37">
        <f>F157/$D$157</f>
        <v>4.5640034782608696</v>
      </c>
      <c r="G191" s="37">
        <f>SUM(E191:F191)</f>
        <v>6.4432973913043483</v>
      </c>
      <c r="H191" s="11">
        <f>H157</f>
        <v>18524.48</v>
      </c>
      <c r="I191" s="13">
        <f>H191/$C$150</f>
        <v>0.14819584</v>
      </c>
      <c r="J191" s="9"/>
      <c r="K191" s="9"/>
      <c r="L191" s="9"/>
      <c r="M191" s="9"/>
      <c r="N191" s="9"/>
    </row>
    <row r="192" spans="2:14" ht="30" customHeight="1">
      <c r="B192" s="19" t="s">
        <v>105</v>
      </c>
      <c r="C192" s="19"/>
      <c r="D192" s="19"/>
      <c r="E192" s="19"/>
      <c r="F192" s="19"/>
      <c r="G192" s="19"/>
      <c r="H192" s="20">
        <f>SUM(H191:H191)</f>
        <v>18524.48</v>
      </c>
      <c r="I192" s="19"/>
      <c r="J192" s="19"/>
      <c r="K192" s="19"/>
      <c r="L192" s="19"/>
      <c r="M192" s="19"/>
      <c r="N192" s="19"/>
    </row>
    <row r="193" spans="2:14" ht="27.95" customHeight="1">
      <c r="B193" s="45" t="s">
        <v>106</v>
      </c>
      <c r="C193" s="45"/>
      <c r="D193" s="45"/>
      <c r="E193" s="45"/>
      <c r="F193" s="45"/>
      <c r="G193" s="45"/>
      <c r="H193" s="45"/>
      <c r="I193" s="45"/>
      <c r="J193" s="45"/>
      <c r="K193" s="45"/>
      <c r="L193" s="45"/>
      <c r="M193" s="45"/>
      <c r="N193" s="45"/>
    </row>
    <row r="195" spans="2:14" ht="24.95" customHeight="1">
      <c r="B195" s="47" t="s">
        <v>136</v>
      </c>
      <c r="C195" s="47"/>
      <c r="D195" s="47"/>
      <c r="E195" s="47"/>
      <c r="F195" s="47"/>
      <c r="G195" s="47"/>
      <c r="H195" s="47"/>
      <c r="I195" s="47"/>
      <c r="J195" s="47"/>
      <c r="K195" s="47"/>
      <c r="L195" s="47"/>
      <c r="M195" s="47"/>
      <c r="N195" s="47"/>
    </row>
    <row r="196" spans="2:14" ht="42" customHeight="1">
      <c r="B196" s="6" t="s">
        <v>38</v>
      </c>
      <c r="C196" s="7" t="s">
        <v>137</v>
      </c>
      <c r="D196" s="7" t="s">
        <v>138</v>
      </c>
      <c r="E196" s="7" t="s">
        <v>139</v>
      </c>
      <c r="F196" s="50" t="s">
        <v>140</v>
      </c>
      <c r="G196" s="51"/>
      <c r="H196" s="51"/>
      <c r="I196" s="51"/>
      <c r="J196" s="51"/>
      <c r="K196" s="51"/>
      <c r="L196" s="51"/>
      <c r="M196" s="51"/>
      <c r="N196" s="51"/>
    </row>
    <row r="197" spans="2:14" ht="60" customHeight="1">
      <c r="B197" s="10" t="s">
        <v>8</v>
      </c>
      <c r="C197" s="10" t="s">
        <v>141</v>
      </c>
      <c r="D197" s="10" t="s">
        <v>141</v>
      </c>
      <c r="E197" s="43" t="s">
        <v>141</v>
      </c>
      <c r="F197" s="48" t="s">
        <v>142</v>
      </c>
      <c r="G197" s="48"/>
      <c r="H197" s="48"/>
      <c r="I197" s="48"/>
      <c r="J197" s="48"/>
      <c r="K197" s="48"/>
      <c r="L197" s="48"/>
      <c r="M197" s="48"/>
      <c r="N197" s="48"/>
    </row>
    <row r="198" spans="2:14" ht="60" customHeight="1">
      <c r="B198" s="15" t="s">
        <v>43</v>
      </c>
      <c r="C198" s="15" t="s">
        <v>141</v>
      </c>
      <c r="D198" s="15" t="s">
        <v>141</v>
      </c>
      <c r="E198" s="44">
        <f>G154</f>
        <v>4647663</v>
      </c>
      <c r="F198" s="49" t="s">
        <v>144</v>
      </c>
      <c r="G198" s="49"/>
      <c r="H198" s="49"/>
      <c r="I198" s="49"/>
      <c r="J198" s="49"/>
      <c r="K198" s="49"/>
      <c r="L198" s="49"/>
      <c r="M198" s="49"/>
      <c r="N198" s="49"/>
    </row>
    <row r="199" spans="2:14" ht="60" customHeight="1">
      <c r="B199" s="10" t="s">
        <v>44</v>
      </c>
      <c r="C199" s="10" t="s">
        <v>141</v>
      </c>
      <c r="D199" s="10" t="s">
        <v>141</v>
      </c>
      <c r="E199" s="43">
        <f>G155</f>
        <v>3623187</v>
      </c>
      <c r="F199" s="48" t="s">
        <v>144</v>
      </c>
      <c r="G199" s="48"/>
      <c r="H199" s="48"/>
      <c r="I199" s="48"/>
      <c r="J199" s="48"/>
      <c r="K199" s="48"/>
      <c r="L199" s="48"/>
      <c r="M199" s="48"/>
      <c r="N199" s="48"/>
    </row>
    <row r="200" spans="2:14" ht="60" customHeight="1">
      <c r="B200" s="15" t="s">
        <v>45</v>
      </c>
      <c r="C200" s="15" t="s">
        <v>141</v>
      </c>
      <c r="D200" s="15" t="s">
        <v>141</v>
      </c>
      <c r="E200" s="44">
        <f>G156</f>
        <v>679347</v>
      </c>
      <c r="F200" s="49" t="s">
        <v>144</v>
      </c>
      <c r="G200" s="49"/>
      <c r="H200" s="49"/>
      <c r="I200" s="49"/>
      <c r="J200" s="49"/>
      <c r="K200" s="49"/>
      <c r="L200" s="49"/>
      <c r="M200" s="49"/>
      <c r="N200" s="49"/>
    </row>
    <row r="201" spans="2:14" ht="60" customHeight="1">
      <c r="B201" s="10" t="s">
        <v>47</v>
      </c>
      <c r="C201" s="10" t="s">
        <v>141</v>
      </c>
      <c r="D201" s="10" t="s">
        <v>141</v>
      </c>
      <c r="E201" s="43" t="s">
        <v>141</v>
      </c>
      <c r="F201" s="48" t="s">
        <v>151</v>
      </c>
      <c r="G201" s="48"/>
      <c r="H201" s="48"/>
      <c r="I201" s="48"/>
      <c r="J201" s="48"/>
      <c r="K201" s="48"/>
      <c r="L201" s="48"/>
      <c r="M201" s="48"/>
      <c r="N201" s="48"/>
    </row>
  </sheetData>
  <mergeCells count="63">
    <mergeCell ref="B2:O2"/>
    <mergeCell ref="B4:O4"/>
    <mergeCell ref="B8:O8"/>
    <mergeCell ref="B18:N18"/>
    <mergeCell ref="B19:N19"/>
    <mergeCell ref="B20:N20"/>
    <mergeCell ref="B21:N21"/>
    <mergeCell ref="B31:N31"/>
    <mergeCell ref="B32:N32"/>
    <mergeCell ref="B34:N34"/>
    <mergeCell ref="B41:N41"/>
    <mergeCell ref="B43:N43"/>
    <mergeCell ref="B51:N51"/>
    <mergeCell ref="B71:N71"/>
    <mergeCell ref="B74:N74"/>
    <mergeCell ref="B78:N78"/>
    <mergeCell ref="F79:N79"/>
    <mergeCell ref="F80:N80"/>
    <mergeCell ref="F81:N81"/>
    <mergeCell ref="F82:N82"/>
    <mergeCell ref="F83:N83"/>
    <mergeCell ref="B87:N87"/>
    <mergeCell ref="B88:N88"/>
    <mergeCell ref="B89:N89"/>
    <mergeCell ref="B90:N90"/>
    <mergeCell ref="B101:N101"/>
    <mergeCell ref="B102:N102"/>
    <mergeCell ref="B104:N104"/>
    <mergeCell ref="B112:N112"/>
    <mergeCell ref="B114:N114"/>
    <mergeCell ref="B122:N122"/>
    <mergeCell ref="B125:N125"/>
    <mergeCell ref="B128:N128"/>
    <mergeCell ref="B131:N131"/>
    <mergeCell ref="B134:N134"/>
    <mergeCell ref="B136:N136"/>
    <mergeCell ref="F137:N137"/>
    <mergeCell ref="F138:N138"/>
    <mergeCell ref="F139:N139"/>
    <mergeCell ref="F140:N140"/>
    <mergeCell ref="F141:N141"/>
    <mergeCell ref="F142:N142"/>
    <mergeCell ref="B146:N146"/>
    <mergeCell ref="B147:N147"/>
    <mergeCell ref="B148:N148"/>
    <mergeCell ref="B149:N149"/>
    <mergeCell ref="B160:N160"/>
    <mergeCell ref="B161:N161"/>
    <mergeCell ref="B163:N163"/>
    <mergeCell ref="B171:N171"/>
    <mergeCell ref="B173:N173"/>
    <mergeCell ref="B181:N181"/>
    <mergeCell ref="B184:N184"/>
    <mergeCell ref="B187:N187"/>
    <mergeCell ref="B190:N190"/>
    <mergeCell ref="F199:N199"/>
    <mergeCell ref="F200:N200"/>
    <mergeCell ref="F201:N201"/>
    <mergeCell ref="B193:N193"/>
    <mergeCell ref="B195:N195"/>
    <mergeCell ref="F196:N196"/>
    <mergeCell ref="F197:N197"/>
    <mergeCell ref="F198:N19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192667"/>
  </sheetPr>
  <dimension ref="A1:O311"/>
  <sheetViews>
    <sheetView showGridLines="0" workbookViewId="0">
      <pane xSplit="2" ySplit="10" topLeftCell="H11" activePane="bottomRight" state="frozen"/>
      <selection pane="bottomRight" activeCell="B24" sqref="B24:N24"/>
      <selection pane="bottomLeft" activeCell="B24" sqref="B24:N24"/>
      <selection pane="topRight" activeCell="B24" sqref="B24:N24"/>
    </sheetView>
  </sheetViews>
  <sheetFormatPr defaultColWidth="8.875" defaultRowHeight="15"/>
  <cols>
    <col min="1" max="1" width="3" style="2" customWidth="1"/>
    <col min="2" max="2" width="32" style="2" customWidth="1"/>
    <col min="3" max="3" width="28" style="2" customWidth="1"/>
    <col min="4" max="4" width="19" style="2" customWidth="1"/>
    <col min="5" max="15" width="16" style="2" customWidth="1"/>
    <col min="16" max="16384" width="8.875" style="2"/>
  </cols>
  <sheetData>
    <row r="1" spans="1:15">
      <c r="A1" s="1"/>
      <c r="B1" s="1"/>
      <c r="C1" s="1"/>
      <c r="D1" s="1"/>
      <c r="E1" s="1"/>
      <c r="F1" s="1"/>
      <c r="G1" s="1"/>
      <c r="H1" s="1"/>
      <c r="I1" s="1"/>
      <c r="J1" s="1"/>
      <c r="K1" s="1"/>
      <c r="L1" s="1"/>
      <c r="M1" s="1"/>
      <c r="N1" s="1"/>
      <c r="O1" s="1"/>
    </row>
    <row r="2" spans="1:15" ht="32.1" customHeight="1">
      <c r="A2" s="1"/>
      <c r="B2" s="46" t="s">
        <v>156</v>
      </c>
      <c r="C2" s="46"/>
      <c r="D2" s="46"/>
      <c r="E2" s="46"/>
      <c r="F2" s="46"/>
      <c r="G2" s="46"/>
      <c r="H2" s="46"/>
      <c r="I2" s="46"/>
      <c r="J2" s="46"/>
      <c r="K2" s="46"/>
      <c r="L2" s="46"/>
      <c r="M2" s="46"/>
      <c r="N2" s="46"/>
      <c r="O2" s="46"/>
    </row>
    <row r="3" spans="1:15" ht="3.95" customHeight="1">
      <c r="A3" s="1"/>
      <c r="B3" s="3"/>
      <c r="C3" s="3"/>
      <c r="D3" s="3"/>
      <c r="E3" s="3"/>
      <c r="F3" s="3"/>
      <c r="G3" s="3"/>
      <c r="H3" s="3"/>
      <c r="I3" s="3"/>
      <c r="J3" s="3"/>
      <c r="K3" s="3"/>
      <c r="L3" s="3"/>
      <c r="M3" s="3"/>
      <c r="N3" s="3"/>
      <c r="O3" s="3"/>
    </row>
    <row r="4" spans="1:15" ht="30" customHeight="1">
      <c r="A4" s="1"/>
      <c r="B4" s="45" t="s">
        <v>1</v>
      </c>
      <c r="C4" s="45"/>
      <c r="D4" s="45"/>
      <c r="E4" s="45"/>
      <c r="F4" s="45"/>
      <c r="G4" s="45"/>
      <c r="H4" s="45"/>
      <c r="I4" s="45"/>
      <c r="J4" s="45"/>
      <c r="K4" s="45"/>
      <c r="L4" s="45"/>
      <c r="M4" s="45"/>
      <c r="N4" s="45"/>
      <c r="O4" s="45"/>
    </row>
    <row r="5" spans="1:15">
      <c r="A5" s="1"/>
      <c r="B5" s="1"/>
      <c r="C5" s="1"/>
      <c r="D5" s="1"/>
      <c r="E5" s="1"/>
      <c r="F5" s="1"/>
      <c r="G5" s="1"/>
      <c r="H5" s="1"/>
      <c r="I5" s="1"/>
      <c r="J5" s="1"/>
      <c r="K5" s="1"/>
      <c r="L5" s="1"/>
      <c r="M5" s="1"/>
      <c r="N5" s="1"/>
      <c r="O5" s="1"/>
    </row>
    <row r="6" spans="1:15" ht="21">
      <c r="A6" s="1"/>
      <c r="B6" s="1" t="s">
        <v>50</v>
      </c>
      <c r="C6" s="32">
        <f>'AGA y criterios'!D13</f>
        <v>400000</v>
      </c>
      <c r="D6" s="1"/>
      <c r="E6" s="1" t="s">
        <v>6</v>
      </c>
      <c r="F6" s="33">
        <f>L15</f>
        <v>400000.00000000006</v>
      </c>
      <c r="G6" s="1"/>
      <c r="H6" s="1" t="s">
        <v>3</v>
      </c>
      <c r="I6" s="5">
        <f>ROUND(C6-F6,2)</f>
        <v>0</v>
      </c>
      <c r="J6" s="1"/>
      <c r="K6" s="1" t="s">
        <v>51</v>
      </c>
      <c r="L6" s="1"/>
      <c r="M6" s="33">
        <f>'AGA y criterios'!E13</f>
        <v>40000</v>
      </c>
      <c r="N6" s="1"/>
      <c r="O6" s="1"/>
    </row>
    <row r="7" spans="1:15">
      <c r="A7" s="1"/>
      <c r="B7" s="1"/>
      <c r="C7" s="1"/>
      <c r="D7" s="1"/>
      <c r="E7" s="1"/>
      <c r="F7" s="1"/>
      <c r="G7" s="1"/>
      <c r="H7" s="1"/>
      <c r="I7" s="1"/>
      <c r="J7" s="1"/>
      <c r="K7" s="1"/>
      <c r="L7" s="1"/>
      <c r="M7" s="1"/>
      <c r="N7" s="1"/>
      <c r="O7" s="1"/>
    </row>
    <row r="8" spans="1:15" ht="30" customHeight="1">
      <c r="A8" s="1"/>
      <c r="B8" s="45" t="s">
        <v>52</v>
      </c>
      <c r="C8" s="45"/>
      <c r="D8" s="45"/>
      <c r="E8" s="45"/>
      <c r="F8" s="45"/>
      <c r="G8" s="45"/>
      <c r="H8" s="45"/>
      <c r="I8" s="45"/>
      <c r="J8" s="45"/>
      <c r="K8" s="45"/>
      <c r="L8" s="45"/>
      <c r="M8" s="45"/>
      <c r="N8" s="45"/>
      <c r="O8" s="45"/>
    </row>
    <row r="10" spans="1:15" ht="42" customHeight="1">
      <c r="B10" s="6" t="s">
        <v>53</v>
      </c>
      <c r="C10" s="7" t="s">
        <v>54</v>
      </c>
      <c r="D10" s="7" t="s">
        <v>8</v>
      </c>
      <c r="E10" s="7" t="s">
        <v>9</v>
      </c>
      <c r="F10" s="7" t="s">
        <v>10</v>
      </c>
      <c r="G10" s="7" t="s">
        <v>43</v>
      </c>
      <c r="H10" s="7" t="s">
        <v>44</v>
      </c>
      <c r="I10" s="7" t="s">
        <v>45</v>
      </c>
      <c r="J10" s="7" t="s">
        <v>46</v>
      </c>
      <c r="K10" s="7" t="s">
        <v>12</v>
      </c>
      <c r="L10" s="7" t="s">
        <v>55</v>
      </c>
      <c r="M10" s="7" t="s">
        <v>3</v>
      </c>
      <c r="N10" s="8" t="s">
        <v>56</v>
      </c>
    </row>
    <row r="11" spans="1:15" ht="30.95" customHeight="1">
      <c r="B11" s="10" t="s">
        <v>157</v>
      </c>
      <c r="C11" s="11">
        <f>'AGA y criterios'!D33</f>
        <v>100000</v>
      </c>
      <c r="D11" s="11">
        <f>I26</f>
        <v>34598.79</v>
      </c>
      <c r="E11" s="11">
        <f>I27</f>
        <v>18571.900000000001</v>
      </c>
      <c r="F11" s="11">
        <f>I28</f>
        <v>17660</v>
      </c>
      <c r="G11" s="11">
        <f>I29</f>
        <v>24169.29</v>
      </c>
      <c r="H11" s="11">
        <v>0</v>
      </c>
      <c r="I11" s="11">
        <f>I30</f>
        <v>5000.0200000000004</v>
      </c>
      <c r="J11" s="11">
        <v>0</v>
      </c>
      <c r="K11" s="11">
        <v>0</v>
      </c>
      <c r="L11" s="11">
        <f>I31</f>
        <v>100000.00000000001</v>
      </c>
      <c r="M11" s="11">
        <f>ROUND(C11-L11,2)</f>
        <v>0</v>
      </c>
      <c r="N11" s="13">
        <f>L11/$C$6</f>
        <v>0.25000000000000006</v>
      </c>
    </row>
    <row r="12" spans="1:15" ht="30.95" customHeight="1">
      <c r="B12" s="15" t="s">
        <v>158</v>
      </c>
      <c r="C12" s="16">
        <f>'AGA y criterios'!D34</f>
        <v>100000</v>
      </c>
      <c r="D12" s="16">
        <f>I105</f>
        <v>34598.79</v>
      </c>
      <c r="E12" s="16">
        <f>I106</f>
        <v>18571.900000000001</v>
      </c>
      <c r="F12" s="16">
        <f>I107</f>
        <v>17660</v>
      </c>
      <c r="G12" s="16">
        <f>I108</f>
        <v>24169.29</v>
      </c>
      <c r="H12" s="16">
        <v>0</v>
      </c>
      <c r="I12" s="16">
        <f>I109</f>
        <v>5000.0200000000004</v>
      </c>
      <c r="J12" s="16">
        <v>0</v>
      </c>
      <c r="K12" s="16">
        <v>0</v>
      </c>
      <c r="L12" s="16">
        <f>I110</f>
        <v>100000.00000000001</v>
      </c>
      <c r="M12" s="16">
        <f>ROUND(C12-L12,2)</f>
        <v>0</v>
      </c>
      <c r="N12" s="18">
        <f>L12/$C$6</f>
        <v>0.25000000000000006</v>
      </c>
    </row>
    <row r="13" spans="1:15" ht="30.95" customHeight="1">
      <c r="B13" s="10" t="s">
        <v>159</v>
      </c>
      <c r="C13" s="11">
        <f>'AGA y criterios'!D35</f>
        <v>100000</v>
      </c>
      <c r="D13" s="11">
        <f>I184</f>
        <v>34598.79</v>
      </c>
      <c r="E13" s="11">
        <f>I185</f>
        <v>18571.900000000001</v>
      </c>
      <c r="F13" s="11">
        <f>I186</f>
        <v>17660</v>
      </c>
      <c r="G13" s="11">
        <f>I187</f>
        <v>24169.29</v>
      </c>
      <c r="H13" s="11">
        <v>0</v>
      </c>
      <c r="I13" s="11">
        <f>I188</f>
        <v>5000.0200000000004</v>
      </c>
      <c r="J13" s="11">
        <v>0</v>
      </c>
      <c r="K13" s="11">
        <v>0</v>
      </c>
      <c r="L13" s="11">
        <f>I189</f>
        <v>100000.00000000001</v>
      </c>
      <c r="M13" s="11">
        <f>ROUND(C13-L13,2)</f>
        <v>0</v>
      </c>
      <c r="N13" s="13">
        <f>L13/$C$6</f>
        <v>0.25000000000000006</v>
      </c>
    </row>
    <row r="14" spans="1:15" ht="30.95" customHeight="1">
      <c r="B14" s="15" t="s">
        <v>160</v>
      </c>
      <c r="C14" s="16">
        <f>'AGA y criterios'!D36</f>
        <v>100000</v>
      </c>
      <c r="D14" s="16">
        <f>H263</f>
        <v>12974.550000000001</v>
      </c>
      <c r="E14" s="16">
        <v>0</v>
      </c>
      <c r="F14" s="16">
        <v>0</v>
      </c>
      <c r="G14" s="16">
        <f>H264</f>
        <v>37205.870000000003</v>
      </c>
      <c r="H14" s="16">
        <f>H265</f>
        <v>25000</v>
      </c>
      <c r="I14" s="16">
        <f>H266</f>
        <v>10000</v>
      </c>
      <c r="J14" s="16">
        <v>0</v>
      </c>
      <c r="K14" s="16">
        <f>H267</f>
        <v>14819.58</v>
      </c>
      <c r="L14" s="16">
        <f>H268</f>
        <v>100000.00000000001</v>
      </c>
      <c r="M14" s="16">
        <f>ROUND(C14-L14,2)</f>
        <v>0</v>
      </c>
      <c r="N14" s="18">
        <f>L14/$C$6</f>
        <v>0.25000000000000006</v>
      </c>
    </row>
    <row r="15" spans="1:15" ht="30" customHeight="1">
      <c r="B15" s="34" t="s">
        <v>57</v>
      </c>
      <c r="C15" s="20">
        <f t="shared" ref="C15:N15" si="0">SUM(C11:C14)</f>
        <v>400000</v>
      </c>
      <c r="D15" s="20">
        <f t="shared" si="0"/>
        <v>116770.92</v>
      </c>
      <c r="E15" s="20">
        <f t="shared" si="0"/>
        <v>55715.700000000004</v>
      </c>
      <c r="F15" s="20">
        <f t="shared" si="0"/>
        <v>52980</v>
      </c>
      <c r="G15" s="20">
        <f t="shared" si="0"/>
        <v>109713.73999999999</v>
      </c>
      <c r="H15" s="20">
        <f t="shared" si="0"/>
        <v>25000</v>
      </c>
      <c r="I15" s="20">
        <f t="shared" si="0"/>
        <v>25000.06</v>
      </c>
      <c r="J15" s="20">
        <f t="shared" si="0"/>
        <v>0</v>
      </c>
      <c r="K15" s="20">
        <f t="shared" si="0"/>
        <v>14819.58</v>
      </c>
      <c r="L15" s="20">
        <f t="shared" si="0"/>
        <v>400000.00000000006</v>
      </c>
      <c r="M15" s="20">
        <f t="shared" si="0"/>
        <v>0</v>
      </c>
      <c r="N15" s="22">
        <f t="shared" si="0"/>
        <v>1.0000000000000002</v>
      </c>
    </row>
    <row r="19" spans="2:14" ht="24.95" customHeight="1">
      <c r="B19" s="47" t="s">
        <v>161</v>
      </c>
      <c r="C19" s="47"/>
      <c r="D19" s="47"/>
      <c r="E19" s="47"/>
      <c r="F19" s="47"/>
      <c r="G19" s="47"/>
      <c r="H19" s="47"/>
      <c r="I19" s="47"/>
      <c r="J19" s="47"/>
      <c r="K19" s="47"/>
      <c r="L19" s="47"/>
      <c r="M19" s="47"/>
      <c r="N19" s="47"/>
    </row>
    <row r="20" spans="2:14" ht="32.1" customHeight="1">
      <c r="B20" s="45" t="s">
        <v>162</v>
      </c>
      <c r="C20" s="45"/>
      <c r="D20" s="45"/>
      <c r="E20" s="45"/>
      <c r="F20" s="45"/>
      <c r="G20" s="45"/>
      <c r="H20" s="45"/>
      <c r="I20" s="45"/>
      <c r="J20" s="45"/>
      <c r="K20" s="45"/>
      <c r="L20" s="45"/>
      <c r="M20" s="45"/>
      <c r="N20" s="45"/>
    </row>
    <row r="21" spans="2:14" ht="32.1" customHeight="1">
      <c r="B21" s="45" t="s">
        <v>163</v>
      </c>
      <c r="C21" s="45"/>
      <c r="D21" s="45"/>
      <c r="E21" s="45"/>
      <c r="F21" s="45"/>
      <c r="G21" s="45"/>
      <c r="H21" s="45"/>
      <c r="I21" s="45"/>
      <c r="J21" s="45"/>
      <c r="K21" s="45"/>
      <c r="L21" s="45"/>
      <c r="M21" s="45"/>
      <c r="N21" s="45"/>
    </row>
    <row r="22" spans="2:14" ht="33.950000000000003" customHeight="1">
      <c r="B22" s="45" t="s">
        <v>34</v>
      </c>
      <c r="C22" s="45"/>
      <c r="D22" s="45"/>
      <c r="E22" s="45"/>
      <c r="F22" s="45"/>
      <c r="G22" s="45"/>
      <c r="H22" s="45"/>
      <c r="I22" s="45"/>
      <c r="J22" s="45"/>
      <c r="K22" s="45"/>
      <c r="L22" s="45"/>
      <c r="M22" s="45"/>
      <c r="N22" s="45"/>
    </row>
    <row r="23" spans="2:14">
      <c r="B23" s="2" t="s">
        <v>61</v>
      </c>
      <c r="C23" s="35">
        <f>'AGA y criterios'!D33</f>
        <v>100000</v>
      </c>
    </row>
    <row r="25" spans="2:14" ht="42" customHeight="1">
      <c r="B25" s="6" t="s">
        <v>37</v>
      </c>
      <c r="C25" s="7" t="s">
        <v>63</v>
      </c>
      <c r="D25" s="7" t="s">
        <v>64</v>
      </c>
      <c r="E25" s="7" t="s">
        <v>164</v>
      </c>
      <c r="F25" s="7" t="s">
        <v>165</v>
      </c>
      <c r="G25" s="7" t="s">
        <v>69</v>
      </c>
      <c r="H25" s="7" t="s">
        <v>72</v>
      </c>
      <c r="I25" s="7" t="s">
        <v>2</v>
      </c>
      <c r="J25" s="8" t="s">
        <v>13</v>
      </c>
    </row>
    <row r="26" spans="2:14" ht="30.95" customHeight="1">
      <c r="B26" s="10" t="s">
        <v>8</v>
      </c>
      <c r="C26" s="10" t="s">
        <v>73</v>
      </c>
      <c r="D26" s="36">
        <f>SUM(Tarifas!E7:E12)</f>
        <v>10068.25</v>
      </c>
      <c r="E26" s="11">
        <f>ROUND($C$23*('Base de distribución'!E99/SUM('Base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10812.12</v>
      </c>
      <c r="F26" s="11">
        <f>ROUND($C$23*('Base de distribución'!E100/SUM('Base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12974.55</v>
      </c>
      <c r="G26" s="11">
        <f>ROUND($C$23*('Base de distribución'!E101/SUM('Base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10812.12</v>
      </c>
      <c r="H26" s="37">
        <f>SUM(H47:H52)</f>
        <v>20.618552380006459</v>
      </c>
      <c r="I26" s="11">
        <f>SUM(E26:G26)</f>
        <v>34598.79</v>
      </c>
      <c r="J26" s="13">
        <f>I26/$C$23</f>
        <v>0.34598790000000001</v>
      </c>
      <c r="K26" s="9"/>
      <c r="L26" s="9"/>
      <c r="M26" s="9"/>
      <c r="N26" s="9"/>
    </row>
    <row r="27" spans="2:14" ht="30.95" customHeight="1">
      <c r="B27" s="15" t="s">
        <v>41</v>
      </c>
      <c r="C27" s="15" t="s">
        <v>74</v>
      </c>
      <c r="D27" s="38">
        <f>SUM(Tarifas!E13:E30)</f>
        <v>665.16</v>
      </c>
      <c r="E27" s="16">
        <f>ROUND($C$23*('Base de distribución'!E102/SUM('Base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5714.43</v>
      </c>
      <c r="F27" s="16">
        <f>ROUND($C$23*('Base de distribución'!E103/SUM('Base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7143.04</v>
      </c>
      <c r="G27" s="16">
        <f>ROUND($C$23*('Base de distribución'!E104/SUM('Base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5714.43</v>
      </c>
      <c r="H27" s="39">
        <f>SUM(H55:H72)</f>
        <v>502.57712430091999</v>
      </c>
      <c r="I27" s="16">
        <f>SUM(E27:G27)</f>
        <v>18571.900000000001</v>
      </c>
      <c r="J27" s="18">
        <f>I27/$C$23</f>
        <v>0.18571900000000002</v>
      </c>
      <c r="K27" s="14"/>
      <c r="L27" s="14"/>
      <c r="M27" s="14"/>
      <c r="N27" s="14"/>
    </row>
    <row r="28" spans="2:14" ht="30.95" customHeight="1">
      <c r="B28" s="10" t="s">
        <v>42</v>
      </c>
      <c r="C28" s="10" t="s">
        <v>120</v>
      </c>
      <c r="D28" s="36">
        <f>SUM(Tarifas!E31:E34)</f>
        <v>16445</v>
      </c>
      <c r="E28" s="11">
        <f>ROUND($C$23*('Base de distribución'!E105/SUM('Base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7064</v>
      </c>
      <c r="F28" s="11">
        <f>ROUND($C$23*('Base de distribución'!E106/SUM('Base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7064</v>
      </c>
      <c r="G28" s="11">
        <f>ROUND($C$23*('Base de distribución'!E107/SUM('Base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3532</v>
      </c>
      <c r="H28" s="37">
        <f>H75*Tarifas!F31+H76*Tarifas!F32+H77*Tarifas!F33+H78*Tarifas!F34</f>
        <v>30.068713894800855</v>
      </c>
      <c r="I28" s="11">
        <f>SUM(E28:G28)</f>
        <v>17660</v>
      </c>
      <c r="J28" s="13">
        <f>I28/$C$23</f>
        <v>0.17660000000000001</v>
      </c>
      <c r="K28" s="9"/>
      <c r="L28" s="9"/>
      <c r="M28" s="9"/>
      <c r="N28" s="9"/>
    </row>
    <row r="29" spans="2:14" ht="30.95" customHeight="1">
      <c r="B29" s="15" t="s">
        <v>43</v>
      </c>
      <c r="C29" s="15" t="s">
        <v>75</v>
      </c>
      <c r="D29" s="38">
        <f>Tarifas!E35</f>
        <v>8.625</v>
      </c>
      <c r="E29" s="16">
        <f>ROUND($C$23*('Base de distribución'!E108/SUM('Base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4909.4399999999996</v>
      </c>
      <c r="F29" s="16">
        <f>ROUND($C$23*('Base de distribución'!E109/SUM('Base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10818.41</v>
      </c>
      <c r="G29" s="16">
        <f>ROUND($C$23*('Base de distribución'!E110/SUM('Base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8441.44</v>
      </c>
      <c r="H29" s="41">
        <f>SUM(H82:H82)</f>
        <v>2802235</v>
      </c>
      <c r="I29" s="16">
        <f>SUM(E29:G29)</f>
        <v>24169.29</v>
      </c>
      <c r="J29" s="18">
        <f>I29/$C$23</f>
        <v>0.24169290000000002</v>
      </c>
      <c r="K29" s="14"/>
      <c r="L29" s="14"/>
      <c r="M29" s="14"/>
      <c r="N29" s="14"/>
    </row>
    <row r="30" spans="2:14" ht="30.95" customHeight="1">
      <c r="B30" s="10" t="s">
        <v>45</v>
      </c>
      <c r="C30" s="10" t="s">
        <v>75</v>
      </c>
      <c r="D30" s="36">
        <f>Tarifas!E37</f>
        <v>9.1999999999999993</v>
      </c>
      <c r="E30" s="11">
        <f>ROUND($C$23*('Base de distribución'!E111/SUM('Base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1500</v>
      </c>
      <c r="F30" s="11">
        <f>ROUND($C$23*('Base de distribución'!E112/SUM('Base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2000</v>
      </c>
      <c r="G30" s="11">
        <f>ROUND($C$23-SUM(E26:G26,E27:G27,E28:G28,E29:G29,E30:F30),2)</f>
        <v>1500.02</v>
      </c>
      <c r="H30" s="40">
        <f>SUM(H85:H85)</f>
        <v>543479</v>
      </c>
      <c r="I30" s="11">
        <f>SUM(E30:G30)</f>
        <v>5000.0200000000004</v>
      </c>
      <c r="J30" s="13">
        <f>I30/$C$23</f>
        <v>5.0000200000000002E-2</v>
      </c>
      <c r="K30" s="9"/>
      <c r="L30" s="9"/>
      <c r="M30" s="9"/>
      <c r="N30" s="9"/>
    </row>
    <row r="31" spans="2:14" ht="30" customHeight="1">
      <c r="B31" s="19" t="s">
        <v>78</v>
      </c>
      <c r="C31" s="19"/>
      <c r="D31" s="19"/>
      <c r="E31" s="20">
        <f>SUM(E26:E30)</f>
        <v>29999.99</v>
      </c>
      <c r="F31" s="20">
        <f>SUM(F26:F30)</f>
        <v>40000</v>
      </c>
      <c r="G31" s="20">
        <f>SUM(G26:G30)</f>
        <v>30000.010000000006</v>
      </c>
      <c r="H31" s="19"/>
      <c r="I31" s="20">
        <f>SUM(I26:I30)</f>
        <v>100000.00000000001</v>
      </c>
      <c r="J31" s="22">
        <f>SUM(J26:J30)</f>
        <v>1</v>
      </c>
      <c r="K31" s="19"/>
      <c r="L31" s="19"/>
      <c r="M31" s="19"/>
      <c r="N31" s="19"/>
    </row>
    <row r="32" spans="2:14">
      <c r="B32" s="2" t="s">
        <v>79</v>
      </c>
      <c r="C32" s="42">
        <f>ROUND(C23-I31,2)</f>
        <v>0</v>
      </c>
    </row>
    <row r="33" spans="2:14" ht="32.1" customHeight="1">
      <c r="B33" s="45" t="s">
        <v>80</v>
      </c>
      <c r="C33" s="45"/>
      <c r="D33" s="45"/>
      <c r="E33" s="45"/>
      <c r="F33" s="45"/>
      <c r="G33" s="45"/>
      <c r="H33" s="45"/>
      <c r="I33" s="45"/>
      <c r="J33" s="45"/>
      <c r="K33" s="45"/>
      <c r="L33" s="45"/>
      <c r="M33" s="45"/>
      <c r="N33" s="45"/>
    </row>
    <row r="34" spans="2:14" ht="32.1" customHeight="1">
      <c r="B34" s="45" t="s">
        <v>81</v>
      </c>
      <c r="C34" s="45"/>
      <c r="D34" s="45"/>
      <c r="E34" s="45"/>
      <c r="F34" s="45"/>
      <c r="G34" s="45"/>
      <c r="H34" s="45"/>
      <c r="I34" s="45"/>
      <c r="J34" s="45"/>
      <c r="K34" s="45"/>
      <c r="L34" s="45"/>
      <c r="M34" s="45"/>
      <c r="N34" s="45"/>
    </row>
    <row r="36" spans="2:14" ht="24.95" customHeight="1">
      <c r="B36" s="47" t="s">
        <v>82</v>
      </c>
      <c r="C36" s="47"/>
      <c r="D36" s="47"/>
      <c r="E36" s="47"/>
      <c r="F36" s="47"/>
      <c r="G36" s="47"/>
      <c r="H36" s="47"/>
      <c r="I36" s="47"/>
      <c r="J36" s="47"/>
      <c r="K36" s="47"/>
      <c r="L36" s="47"/>
      <c r="M36" s="47"/>
      <c r="N36" s="47"/>
    </row>
    <row r="37" spans="2:14" ht="42" customHeight="1">
      <c r="B37" s="6" t="s">
        <v>38</v>
      </c>
      <c r="C37" s="7" t="s">
        <v>83</v>
      </c>
      <c r="D37" s="7" t="s">
        <v>84</v>
      </c>
      <c r="E37" s="7" t="s">
        <v>164</v>
      </c>
      <c r="F37" s="7" t="s">
        <v>165</v>
      </c>
      <c r="G37" s="8" t="s">
        <v>69</v>
      </c>
    </row>
    <row r="38" spans="2:14" ht="44.1" customHeight="1">
      <c r="B38" s="10" t="s">
        <v>8</v>
      </c>
      <c r="C38" s="10" t="s">
        <v>85</v>
      </c>
      <c r="D38" s="10" t="s">
        <v>86</v>
      </c>
      <c r="E38" s="9" t="s">
        <v>164</v>
      </c>
      <c r="F38" s="9" t="s">
        <v>165</v>
      </c>
      <c r="G38" s="9" t="s">
        <v>69</v>
      </c>
      <c r="H38" s="9"/>
      <c r="I38" s="9"/>
      <c r="J38" s="9"/>
      <c r="K38" s="9"/>
      <c r="L38" s="9"/>
      <c r="M38" s="9"/>
      <c r="N38" s="9"/>
    </row>
    <row r="39" spans="2:14" ht="44.1" customHeight="1">
      <c r="B39" s="15" t="s">
        <v>41</v>
      </c>
      <c r="C39" s="15" t="s">
        <v>87</v>
      </c>
      <c r="D39" s="15" t="s">
        <v>88</v>
      </c>
      <c r="E39" s="14" t="s">
        <v>164</v>
      </c>
      <c r="F39" s="14" t="s">
        <v>165</v>
      </c>
      <c r="G39" s="14" t="s">
        <v>69</v>
      </c>
      <c r="H39" s="14"/>
      <c r="I39" s="14"/>
      <c r="J39" s="14"/>
      <c r="K39" s="14"/>
      <c r="L39" s="14"/>
      <c r="M39" s="14"/>
      <c r="N39" s="14"/>
    </row>
    <row r="40" spans="2:14" ht="44.1" customHeight="1">
      <c r="B40" s="10" t="s">
        <v>42</v>
      </c>
      <c r="C40" s="10" t="s">
        <v>121</v>
      </c>
      <c r="D40" s="10" t="s">
        <v>88</v>
      </c>
      <c r="E40" s="9" t="s">
        <v>164</v>
      </c>
      <c r="F40" s="9" t="s">
        <v>165</v>
      </c>
      <c r="G40" s="9" t="s">
        <v>69</v>
      </c>
      <c r="H40" s="9"/>
      <c r="I40" s="9"/>
      <c r="J40" s="9"/>
      <c r="K40" s="9"/>
      <c r="L40" s="9"/>
      <c r="M40" s="9"/>
      <c r="N40" s="9"/>
    </row>
    <row r="41" spans="2:14" ht="44.1" customHeight="1">
      <c r="B41" s="15" t="s">
        <v>43</v>
      </c>
      <c r="C41" s="15" t="s">
        <v>89</v>
      </c>
      <c r="D41" s="15" t="s">
        <v>86</v>
      </c>
      <c r="E41" s="14" t="s">
        <v>164</v>
      </c>
      <c r="F41" s="14" t="s">
        <v>165</v>
      </c>
      <c r="G41" s="14" t="s">
        <v>69</v>
      </c>
      <c r="H41" s="14"/>
      <c r="I41" s="14"/>
      <c r="J41" s="14"/>
      <c r="K41" s="14"/>
      <c r="L41" s="14"/>
      <c r="M41" s="14"/>
      <c r="N41" s="14"/>
    </row>
    <row r="42" spans="2:14" ht="44.1" customHeight="1">
      <c r="B42" s="10" t="s">
        <v>45</v>
      </c>
      <c r="C42" s="10" t="s">
        <v>149</v>
      </c>
      <c r="D42" s="10" t="s">
        <v>86</v>
      </c>
      <c r="E42" s="9" t="s">
        <v>164</v>
      </c>
      <c r="F42" s="9" t="s">
        <v>165</v>
      </c>
      <c r="G42" s="9" t="s">
        <v>69</v>
      </c>
      <c r="H42" s="9"/>
      <c r="I42" s="9"/>
      <c r="J42" s="9"/>
      <c r="K42" s="9"/>
      <c r="L42" s="9"/>
      <c r="M42" s="9"/>
      <c r="N42" s="9"/>
    </row>
    <row r="44" spans="2:14" ht="24.95" customHeight="1">
      <c r="B44" s="47" t="s">
        <v>93</v>
      </c>
      <c r="C44" s="47"/>
      <c r="D44" s="47"/>
      <c r="E44" s="47"/>
      <c r="F44" s="47"/>
      <c r="G44" s="47"/>
      <c r="H44" s="47"/>
      <c r="I44" s="47"/>
      <c r="J44" s="47"/>
      <c r="K44" s="47"/>
      <c r="L44" s="47"/>
      <c r="M44" s="47"/>
      <c r="N44" s="47"/>
    </row>
    <row r="45" spans="2:14" ht="42" customHeight="1">
      <c r="B45" s="6" t="s">
        <v>94</v>
      </c>
      <c r="C45" s="7" t="s">
        <v>95</v>
      </c>
      <c r="D45" s="7" t="s">
        <v>64</v>
      </c>
      <c r="E45" s="7" t="s">
        <v>164</v>
      </c>
      <c r="F45" s="7" t="s">
        <v>165</v>
      </c>
      <c r="G45" s="7" t="s">
        <v>69</v>
      </c>
      <c r="H45" s="7" t="s">
        <v>96</v>
      </c>
      <c r="I45" s="7" t="s">
        <v>2</v>
      </c>
      <c r="J45" s="8" t="s">
        <v>97</v>
      </c>
    </row>
    <row r="46" spans="2:14" ht="24.95" customHeight="1">
      <c r="B46" s="47" t="s">
        <v>8</v>
      </c>
      <c r="C46" s="47"/>
      <c r="D46" s="47"/>
      <c r="E46" s="47"/>
      <c r="F46" s="47"/>
      <c r="G46" s="47"/>
      <c r="H46" s="47"/>
      <c r="I46" s="47"/>
      <c r="J46" s="47"/>
      <c r="K46" s="47"/>
      <c r="L46" s="47"/>
      <c r="M46" s="47"/>
      <c r="N46" s="47"/>
    </row>
    <row r="47" spans="2:14" ht="38.1" customHeight="1">
      <c r="B47" s="10" t="str">
        <f>Tarifas!B7</f>
        <v>Telemundo</v>
      </c>
      <c r="C47" s="10" t="str">
        <f>Tarifas!C7</f>
        <v>Dia a Dia</v>
      </c>
      <c r="D47" s="36">
        <f>Tarifas!E7</f>
        <v>782</v>
      </c>
      <c r="E47" s="37">
        <f>E26/$D$26</f>
        <v>1.0738827502296826</v>
      </c>
      <c r="F47" s="37">
        <f>F26/$D$26</f>
        <v>1.2886598962083777</v>
      </c>
      <c r="G47" s="37">
        <f>G26/$D$26</f>
        <v>1.0738827502296826</v>
      </c>
      <c r="H47" s="37">
        <f t="shared" ref="H47:H52" si="1">SUM(E47:G47)</f>
        <v>3.4364253966677429</v>
      </c>
      <c r="I47" s="11">
        <f>ROUND(H47*D47,2)</f>
        <v>2687.28</v>
      </c>
      <c r="J47" s="13">
        <f t="shared" ref="J47:J52" si="2">I47/$C$23</f>
        <v>2.6872800000000002E-2</v>
      </c>
      <c r="K47" s="9"/>
      <c r="L47" s="9"/>
      <c r="M47" s="9"/>
      <c r="N47" s="9"/>
    </row>
    <row r="48" spans="2:14" ht="38.1" customHeight="1">
      <c r="B48" s="15" t="str">
        <f>Tarifas!B8</f>
        <v>Telemundo</v>
      </c>
      <c r="C48" s="15" t="str">
        <f>Tarifas!C8</f>
        <v>PR Gana 6pm (M,W,T,f,Su)</v>
      </c>
      <c r="D48" s="38">
        <f>Tarifas!E8</f>
        <v>2541.5</v>
      </c>
      <c r="E48" s="39">
        <f>E26/$D$26</f>
        <v>1.0738827502296826</v>
      </c>
      <c r="F48" s="39">
        <f>F26/$D$26</f>
        <v>1.2886598962083777</v>
      </c>
      <c r="G48" s="39">
        <f>G26/$D$26</f>
        <v>1.0738827502296826</v>
      </c>
      <c r="H48" s="39">
        <f t="shared" si="1"/>
        <v>3.4364253966677429</v>
      </c>
      <c r="I48" s="16">
        <f>ROUND(H48*D48,2)</f>
        <v>8733.68</v>
      </c>
      <c r="J48" s="18">
        <f t="shared" si="2"/>
        <v>8.7336800000000006E-2</v>
      </c>
      <c r="K48" s="14"/>
      <c r="L48" s="14"/>
      <c r="M48" s="14"/>
      <c r="N48" s="14"/>
    </row>
    <row r="49" spans="2:14" ht="38.1" customHeight="1">
      <c r="B49" s="10" t="str">
        <f>Tarifas!B9</f>
        <v>WAPA</v>
      </c>
      <c r="C49" s="10" t="str">
        <f>Tarifas!C9</f>
        <v>Pegate al MedioDIa</v>
      </c>
      <c r="D49" s="36">
        <f>Tarifas!E9</f>
        <v>977.5</v>
      </c>
      <c r="E49" s="37">
        <f>E26/$D$26</f>
        <v>1.0738827502296826</v>
      </c>
      <c r="F49" s="37">
        <f>F26/$D$26</f>
        <v>1.2886598962083777</v>
      </c>
      <c r="G49" s="37">
        <f>G26/$D$26</f>
        <v>1.0738827502296826</v>
      </c>
      <c r="H49" s="37">
        <f t="shared" si="1"/>
        <v>3.4364253966677429</v>
      </c>
      <c r="I49" s="11">
        <f>ROUND(H49*D49,2)</f>
        <v>3359.11</v>
      </c>
      <c r="J49" s="13">
        <f t="shared" si="2"/>
        <v>3.3591099999999999E-2</v>
      </c>
      <c r="K49" s="9"/>
      <c r="L49" s="9"/>
      <c r="M49" s="9"/>
      <c r="N49" s="9"/>
    </row>
    <row r="50" spans="2:14" ht="38.1" customHeight="1">
      <c r="B50" s="15" t="str">
        <f>Tarifas!B10</f>
        <v>WAPA</v>
      </c>
      <c r="C50" s="15" t="str">
        <f>Tarifas!C10</f>
        <v>Reality-Funcion Estelar 7p</v>
      </c>
      <c r="D50" s="38">
        <f>Tarifas!E10</f>
        <v>3519</v>
      </c>
      <c r="E50" s="39">
        <f>E26/$D$26</f>
        <v>1.0738827502296826</v>
      </c>
      <c r="F50" s="39">
        <f>F26/$D$26</f>
        <v>1.2886598962083777</v>
      </c>
      <c r="G50" s="39">
        <f>G26/$D$26</f>
        <v>1.0738827502296826</v>
      </c>
      <c r="H50" s="39">
        <f t="shared" si="1"/>
        <v>3.4364253966677429</v>
      </c>
      <c r="I50" s="16">
        <f>ROUND(H50*D50,2)</f>
        <v>12092.78</v>
      </c>
      <c r="J50" s="18">
        <f t="shared" si="2"/>
        <v>0.1209278</v>
      </c>
      <c r="K50" s="14"/>
      <c r="L50" s="14"/>
      <c r="M50" s="14"/>
      <c r="N50" s="14"/>
    </row>
    <row r="51" spans="2:14" ht="38.1" customHeight="1">
      <c r="B51" s="10" t="str">
        <f>Tarifas!B11</f>
        <v>TeleOnce</v>
      </c>
      <c r="C51" s="10" t="str">
        <f>Tarifas!C11</f>
        <v>PR en Vivo</v>
      </c>
      <c r="D51" s="36">
        <f>Tarifas!E11</f>
        <v>586.5</v>
      </c>
      <c r="E51" s="37">
        <f>E26/$D$26</f>
        <v>1.0738827502296826</v>
      </c>
      <c r="F51" s="37">
        <f>F26/$D$26</f>
        <v>1.2886598962083777</v>
      </c>
      <c r="G51" s="37">
        <f>G26/$D$26</f>
        <v>1.0738827502296826</v>
      </c>
      <c r="H51" s="37">
        <f t="shared" si="1"/>
        <v>3.4364253966677429</v>
      </c>
      <c r="I51" s="11">
        <f>ROUND(H51*D51,2)</f>
        <v>2015.46</v>
      </c>
      <c r="J51" s="13">
        <f t="shared" si="2"/>
        <v>2.0154600000000002E-2</v>
      </c>
      <c r="K51" s="9"/>
      <c r="L51" s="9"/>
      <c r="M51" s="9"/>
      <c r="N51" s="9"/>
    </row>
    <row r="52" spans="2:14" ht="38.1" customHeight="1">
      <c r="B52" s="15" t="str">
        <f>Tarifas!B12</f>
        <v>TeleOnce</v>
      </c>
      <c r="C52" s="15" t="str">
        <f>Tarifas!C12</f>
        <v>Las Noticias Prime</v>
      </c>
      <c r="D52" s="38">
        <f>Tarifas!E12</f>
        <v>1661.75</v>
      </c>
      <c r="E52" s="39">
        <f>E26/$D$26</f>
        <v>1.0738827502296826</v>
      </c>
      <c r="F52" s="39">
        <f>F26/$D$26</f>
        <v>1.2886598962083777</v>
      </c>
      <c r="G52" s="39">
        <f>G26/$D$26</f>
        <v>1.0738827502296826</v>
      </c>
      <c r="H52" s="39">
        <f t="shared" si="1"/>
        <v>3.4364253966677429</v>
      </c>
      <c r="I52" s="16">
        <f>ROUND(I26-SUM(I47:I51),2)</f>
        <v>5710.48</v>
      </c>
      <c r="J52" s="18">
        <f t="shared" si="2"/>
        <v>5.7104799999999997E-2</v>
      </c>
      <c r="K52" s="14"/>
      <c r="L52" s="14"/>
      <c r="M52" s="14"/>
      <c r="N52" s="14"/>
    </row>
    <row r="53" spans="2:14" ht="30" customHeight="1">
      <c r="B53" s="19" t="s">
        <v>98</v>
      </c>
      <c r="C53" s="19"/>
      <c r="D53" s="19"/>
      <c r="E53" s="19"/>
      <c r="F53" s="19"/>
      <c r="G53" s="19"/>
      <c r="H53" s="19"/>
      <c r="I53" s="20">
        <f>SUM(I47:I52)</f>
        <v>34598.79</v>
      </c>
      <c r="J53" s="19"/>
      <c r="K53" s="19"/>
      <c r="L53" s="19"/>
      <c r="M53" s="19"/>
      <c r="N53" s="19"/>
    </row>
    <row r="54" spans="2:14" ht="24.95" customHeight="1">
      <c r="B54" s="47" t="s">
        <v>41</v>
      </c>
      <c r="C54" s="47"/>
      <c r="D54" s="47"/>
      <c r="E54" s="47"/>
      <c r="F54" s="47"/>
      <c r="G54" s="47"/>
      <c r="H54" s="47"/>
      <c r="I54" s="47"/>
      <c r="J54" s="47"/>
      <c r="K54" s="47"/>
      <c r="L54" s="47"/>
      <c r="M54" s="47"/>
      <c r="N54" s="47"/>
    </row>
    <row r="55" spans="2:14" ht="38.1" customHeight="1">
      <c r="B55" s="10" t="str">
        <f>Tarifas!B13</f>
        <v>Unica Radio-1230am</v>
      </c>
      <c r="C55" s="10" t="str">
        <f>Tarifas!C13</f>
        <v>ROS 7 a. m.–5 p. m.</v>
      </c>
      <c r="D55" s="36">
        <f>Tarifas!E13</f>
        <v>36.799999999999997</v>
      </c>
      <c r="E55" s="37">
        <f>E27/$D$27</f>
        <v>8.5910607974021289</v>
      </c>
      <c r="F55" s="37">
        <f>F27/$D$27</f>
        <v>10.738829755246858</v>
      </c>
      <c r="G55" s="37">
        <f>G27/$D$27</f>
        <v>8.5910607974021289</v>
      </c>
      <c r="H55" s="37">
        <f t="shared" ref="H55:H72" si="3">SUM(E55:G55)</f>
        <v>27.920951350051116</v>
      </c>
      <c r="I55" s="11">
        <f t="shared" ref="I55:I71" si="4">ROUND(H55*D55,2)</f>
        <v>1027.49</v>
      </c>
      <c r="J55" s="13">
        <f t="shared" ref="J55:J72" si="5">I55/$C$23</f>
        <v>1.02749E-2</v>
      </c>
      <c r="K55" s="9"/>
      <c r="L55" s="9"/>
      <c r="M55" s="9"/>
      <c r="N55" s="9"/>
    </row>
    <row r="56" spans="2:14" ht="38.1" customHeight="1">
      <c r="B56" s="15" t="str">
        <f>Tarifas!B14</f>
        <v>Radio Once-1120AM</v>
      </c>
      <c r="C56" s="15" t="str">
        <f>Tarifas!C14</f>
        <v>ROS 7 a. m.–5 p. m.</v>
      </c>
      <c r="D56" s="38">
        <f>Tarifas!E14</f>
        <v>36.799999999999997</v>
      </c>
      <c r="E56" s="39">
        <f>E27/$D$27</f>
        <v>8.5910607974021289</v>
      </c>
      <c r="F56" s="39">
        <f>F27/$D$27</f>
        <v>10.738829755246858</v>
      </c>
      <c r="G56" s="39">
        <f>G27/$D$27</f>
        <v>8.5910607974021289</v>
      </c>
      <c r="H56" s="39">
        <f t="shared" si="3"/>
        <v>27.920951350051116</v>
      </c>
      <c r="I56" s="16">
        <f t="shared" si="4"/>
        <v>1027.49</v>
      </c>
      <c r="J56" s="18">
        <f t="shared" si="5"/>
        <v>1.02749E-2</v>
      </c>
      <c r="K56" s="14"/>
      <c r="L56" s="14"/>
      <c r="M56" s="14"/>
      <c r="N56" s="14"/>
    </row>
    <row r="57" spans="2:14" ht="38.1" customHeight="1">
      <c r="B57" s="10" t="str">
        <f>Tarifas!B15</f>
        <v>WAPA Radio-Borinquen</v>
      </c>
      <c r="C57" s="10" t="str">
        <f>Tarifas!C15</f>
        <v>ROS 7 a. m.–5 p. m.</v>
      </c>
      <c r="D57" s="36">
        <f>Tarifas!E15</f>
        <v>55.2</v>
      </c>
      <c r="E57" s="37">
        <f>E27/$D$27</f>
        <v>8.5910607974021289</v>
      </c>
      <c r="F57" s="37">
        <f>F27/$D$27</f>
        <v>10.738829755246858</v>
      </c>
      <c r="G57" s="37">
        <f>G27/$D$27</f>
        <v>8.5910607974021289</v>
      </c>
      <c r="H57" s="37">
        <f t="shared" si="3"/>
        <v>27.920951350051116</v>
      </c>
      <c r="I57" s="11">
        <f t="shared" si="4"/>
        <v>1541.24</v>
      </c>
      <c r="J57" s="13">
        <f t="shared" si="5"/>
        <v>1.54124E-2</v>
      </c>
      <c r="K57" s="9"/>
      <c r="L57" s="9"/>
      <c r="M57" s="9"/>
      <c r="N57" s="9"/>
    </row>
    <row r="58" spans="2:14" ht="38.1" customHeight="1">
      <c r="B58" s="15" t="str">
        <f>Tarifas!B16</f>
        <v>WAEL-FM</v>
      </c>
      <c r="C58" s="15" t="str">
        <f>Tarifas!C16</f>
        <v>ROS 7 a. m.–5 p. m.</v>
      </c>
      <c r="D58" s="38">
        <f>Tarifas!E16</f>
        <v>36.799999999999997</v>
      </c>
      <c r="E58" s="39">
        <f>E27/$D$27</f>
        <v>8.5910607974021289</v>
      </c>
      <c r="F58" s="39">
        <f>F27/$D$27</f>
        <v>10.738829755246858</v>
      </c>
      <c r="G58" s="39">
        <f>G27/$D$27</f>
        <v>8.5910607974021289</v>
      </c>
      <c r="H58" s="39">
        <f t="shared" si="3"/>
        <v>27.920951350051116</v>
      </c>
      <c r="I58" s="16">
        <f t="shared" si="4"/>
        <v>1027.49</v>
      </c>
      <c r="J58" s="18">
        <f t="shared" si="5"/>
        <v>1.02749E-2</v>
      </c>
      <c r="K58" s="14"/>
      <c r="L58" s="14"/>
      <c r="M58" s="14"/>
      <c r="N58" s="14"/>
    </row>
    <row r="59" spans="2:14" ht="38.1" customHeight="1">
      <c r="B59" s="10" t="str">
        <f>Tarifas!B17</f>
        <v>WABA-AM (Aguadilla)</v>
      </c>
      <c r="C59" s="10" t="str">
        <f>Tarifas!C17</f>
        <v>ROS 7 a. m.–5 p. m.</v>
      </c>
      <c r="D59" s="36">
        <f>Tarifas!E17</f>
        <v>28.52</v>
      </c>
      <c r="E59" s="37">
        <f>E27/$D$27</f>
        <v>8.5910607974021289</v>
      </c>
      <c r="F59" s="37">
        <f>F27/$D$27</f>
        <v>10.738829755246858</v>
      </c>
      <c r="G59" s="37">
        <f>G27/$D$27</f>
        <v>8.5910607974021289</v>
      </c>
      <c r="H59" s="37">
        <f t="shared" si="3"/>
        <v>27.920951350051116</v>
      </c>
      <c r="I59" s="11">
        <f t="shared" si="4"/>
        <v>796.31</v>
      </c>
      <c r="J59" s="13">
        <f t="shared" si="5"/>
        <v>7.963099999999999E-3</v>
      </c>
      <c r="K59" s="9"/>
      <c r="L59" s="9"/>
      <c r="M59" s="9"/>
      <c r="N59" s="9"/>
    </row>
    <row r="60" spans="2:14" ht="38.1" customHeight="1">
      <c r="B60" s="15" t="str">
        <f>Tarifas!B18</f>
        <v>WHOY-AM (Salinas)</v>
      </c>
      <c r="C60" s="15" t="str">
        <f>Tarifas!C18</f>
        <v>ROS 7 a. m.–5 p. m.</v>
      </c>
      <c r="D60" s="38">
        <f>Tarifas!E18</f>
        <v>28.52</v>
      </c>
      <c r="E60" s="39">
        <f>E27/$D$27</f>
        <v>8.5910607974021289</v>
      </c>
      <c r="F60" s="39">
        <f>F27/$D$27</f>
        <v>10.738829755246858</v>
      </c>
      <c r="G60" s="39">
        <f>G27/$D$27</f>
        <v>8.5910607974021289</v>
      </c>
      <c r="H60" s="39">
        <f t="shared" si="3"/>
        <v>27.920951350051116</v>
      </c>
      <c r="I60" s="16">
        <f t="shared" si="4"/>
        <v>796.31</v>
      </c>
      <c r="J60" s="18">
        <f t="shared" si="5"/>
        <v>7.963099999999999E-3</v>
      </c>
      <c r="K60" s="14"/>
      <c r="L60" s="14"/>
      <c r="M60" s="14"/>
      <c r="N60" s="14"/>
    </row>
    <row r="61" spans="2:14" ht="38.1" customHeight="1">
      <c r="B61" s="10" t="str">
        <f>Tarifas!B19</f>
        <v>WGDL-AM/FM (Lares/Aguadilla)</v>
      </c>
      <c r="C61" s="10" t="str">
        <f>Tarifas!C19</f>
        <v>ROS 7 a. m.–5 p. m.</v>
      </c>
      <c r="D61" s="36">
        <f>Tarifas!E19</f>
        <v>45.08</v>
      </c>
      <c r="E61" s="37">
        <f>E27/$D$27</f>
        <v>8.5910607974021289</v>
      </c>
      <c r="F61" s="37">
        <f>F27/$D$27</f>
        <v>10.738829755246858</v>
      </c>
      <c r="G61" s="37">
        <f>G27/$D$27</f>
        <v>8.5910607974021289</v>
      </c>
      <c r="H61" s="37">
        <f t="shared" si="3"/>
        <v>27.920951350051116</v>
      </c>
      <c r="I61" s="11">
        <f t="shared" si="4"/>
        <v>1258.68</v>
      </c>
      <c r="J61" s="13">
        <f t="shared" si="5"/>
        <v>1.25868E-2</v>
      </c>
      <c r="K61" s="9"/>
      <c r="L61" s="9"/>
      <c r="M61" s="9"/>
      <c r="N61" s="9"/>
    </row>
    <row r="62" spans="2:14" ht="38.1" customHeight="1">
      <c r="B62" s="15" t="str">
        <f>Tarifas!B20</f>
        <v>WPRA-AM (Mayaguez)</v>
      </c>
      <c r="C62" s="15" t="str">
        <f>Tarifas!C20</f>
        <v>ROS 7 a. m.–5 p. m.</v>
      </c>
      <c r="D62" s="38">
        <f>Tarifas!E20</f>
        <v>28.52</v>
      </c>
      <c r="E62" s="39">
        <f>E27/$D$27</f>
        <v>8.5910607974021289</v>
      </c>
      <c r="F62" s="39">
        <f>F27/$D$27</f>
        <v>10.738829755246858</v>
      </c>
      <c r="G62" s="39">
        <f>G27/$D$27</f>
        <v>8.5910607974021289</v>
      </c>
      <c r="H62" s="39">
        <f t="shared" si="3"/>
        <v>27.920951350051116</v>
      </c>
      <c r="I62" s="16">
        <f t="shared" si="4"/>
        <v>796.31</v>
      </c>
      <c r="J62" s="18">
        <f t="shared" si="5"/>
        <v>7.963099999999999E-3</v>
      </c>
      <c r="K62" s="14"/>
      <c r="L62" s="14"/>
      <c r="M62" s="14"/>
      <c r="N62" s="14"/>
    </row>
    <row r="63" spans="2:14" ht="38.1" customHeight="1">
      <c r="B63" s="10" t="str">
        <f>Tarifas!B21</f>
        <v>WISA-AM (Isabela)</v>
      </c>
      <c r="C63" s="10" t="str">
        <f>Tarifas!C21</f>
        <v>ROS 7 a. m.–5 p. m.</v>
      </c>
      <c r="D63" s="36">
        <f>Tarifas!E21</f>
        <v>28.52</v>
      </c>
      <c r="E63" s="37">
        <f>E27/$D$27</f>
        <v>8.5910607974021289</v>
      </c>
      <c r="F63" s="37">
        <f>F27/$D$27</f>
        <v>10.738829755246858</v>
      </c>
      <c r="G63" s="37">
        <f>G27/$D$27</f>
        <v>8.5910607974021289</v>
      </c>
      <c r="H63" s="37">
        <f t="shared" si="3"/>
        <v>27.920951350051116</v>
      </c>
      <c r="I63" s="11">
        <f t="shared" si="4"/>
        <v>796.31</v>
      </c>
      <c r="J63" s="13">
        <f t="shared" si="5"/>
        <v>7.963099999999999E-3</v>
      </c>
      <c r="K63" s="9"/>
      <c r="L63" s="9"/>
      <c r="M63" s="9"/>
      <c r="N63" s="9"/>
    </row>
    <row r="64" spans="2:14" ht="38.1" customHeight="1">
      <c r="B64" s="15" t="str">
        <f>Tarifas!B22</f>
        <v xml:space="preserve">Auspicios: $1,075,000 pendientes de con con el RFP. No están sumados al escenario de $3,763,000. </v>
      </c>
      <c r="C64" s="15" t="str">
        <f>Tarifas!C22</f>
        <v>ROS 7 a. m.–5 p. m.</v>
      </c>
      <c r="D64" s="38">
        <f>Tarifas!E22</f>
        <v>28.52</v>
      </c>
      <c r="E64" s="39">
        <f>E27/$D$27</f>
        <v>8.5910607974021289</v>
      </c>
      <c r="F64" s="39">
        <f>F27/$D$27</f>
        <v>10.738829755246858</v>
      </c>
      <c r="G64" s="39">
        <f>G27/$D$27</f>
        <v>8.5910607974021289</v>
      </c>
      <c r="H64" s="39">
        <f t="shared" si="3"/>
        <v>27.920951350051116</v>
      </c>
      <c r="I64" s="16">
        <f t="shared" si="4"/>
        <v>796.31</v>
      </c>
      <c r="J64" s="18">
        <f t="shared" si="5"/>
        <v>7.963099999999999E-3</v>
      </c>
      <c r="K64" s="14"/>
      <c r="L64" s="14"/>
      <c r="M64" s="14"/>
      <c r="N64" s="14"/>
    </row>
    <row r="65" spans="2:14" ht="38.1" customHeight="1">
      <c r="B65" s="10" t="str">
        <f>Tarifas!B23</f>
        <v>WCPR-AM (Coamo)</v>
      </c>
      <c r="C65" s="10" t="str">
        <f>Tarifas!C23</f>
        <v>ROS 7 a. m.–5 p. m.</v>
      </c>
      <c r="D65" s="36">
        <f>Tarifas!E23</f>
        <v>28.52</v>
      </c>
      <c r="E65" s="37">
        <f>E27/$D$27</f>
        <v>8.5910607974021289</v>
      </c>
      <c r="F65" s="37">
        <f>F27/$D$27</f>
        <v>10.738829755246858</v>
      </c>
      <c r="G65" s="37">
        <f>G27/$D$27</f>
        <v>8.5910607974021289</v>
      </c>
      <c r="H65" s="37">
        <f t="shared" si="3"/>
        <v>27.920951350051116</v>
      </c>
      <c r="I65" s="11">
        <f t="shared" si="4"/>
        <v>796.31</v>
      </c>
      <c r="J65" s="13">
        <f t="shared" si="5"/>
        <v>7.963099999999999E-3</v>
      </c>
      <c r="K65" s="9"/>
      <c r="L65" s="9"/>
      <c r="M65" s="9"/>
      <c r="N65" s="9"/>
    </row>
    <row r="66" spans="2:14" ht="38.1" customHeight="1">
      <c r="B66" s="15" t="str">
        <f>Tarifas!B24</f>
        <v>WLPR-AM (SanSebastian)</v>
      </c>
      <c r="C66" s="15" t="str">
        <f>Tarifas!C24</f>
        <v>ROS 7 a. m.–5 p. m.</v>
      </c>
      <c r="D66" s="38">
        <f>Tarifas!E24</f>
        <v>28.52</v>
      </c>
      <c r="E66" s="39">
        <f>E27/$D$27</f>
        <v>8.5910607974021289</v>
      </c>
      <c r="F66" s="39">
        <f>F27/$D$27</f>
        <v>10.738829755246858</v>
      </c>
      <c r="G66" s="39">
        <f>G27/$D$27</f>
        <v>8.5910607974021289</v>
      </c>
      <c r="H66" s="39">
        <f t="shared" si="3"/>
        <v>27.920951350051116</v>
      </c>
      <c r="I66" s="16">
        <f t="shared" si="4"/>
        <v>796.31</v>
      </c>
      <c r="J66" s="18">
        <f t="shared" si="5"/>
        <v>7.963099999999999E-3</v>
      </c>
      <c r="K66" s="14"/>
      <c r="L66" s="14"/>
      <c r="M66" s="14"/>
      <c r="N66" s="14"/>
    </row>
    <row r="67" spans="2:14" ht="38.1" customHeight="1">
      <c r="B67" s="10" t="str">
        <f>Tarifas!B25</f>
        <v xml:space="preserve">Entregas estimadas con tarifas de referencia. </v>
      </c>
      <c r="C67" s="10" t="str">
        <f>Tarifas!C25</f>
        <v>ROS 7 a. m.–5 p. m.</v>
      </c>
      <c r="D67" s="36">
        <f>Tarifas!E25</f>
        <v>28.52</v>
      </c>
      <c r="E67" s="37">
        <f>E27/$D$27</f>
        <v>8.5910607974021289</v>
      </c>
      <c r="F67" s="37">
        <f>F27/$D$27</f>
        <v>10.738829755246858</v>
      </c>
      <c r="G67" s="37">
        <f>G27/$D$27</f>
        <v>8.5910607974021289</v>
      </c>
      <c r="H67" s="37">
        <f t="shared" si="3"/>
        <v>27.920951350051116</v>
      </c>
      <c r="I67" s="11">
        <f t="shared" si="4"/>
        <v>796.31</v>
      </c>
      <c r="J67" s="13">
        <f t="shared" si="5"/>
        <v>7.963099999999999E-3</v>
      </c>
      <c r="K67" s="9"/>
      <c r="L67" s="9"/>
      <c r="M67" s="9"/>
      <c r="N67" s="9"/>
    </row>
    <row r="68" spans="2:14" ht="38.1" customHeight="1">
      <c r="B68" s="15" t="str">
        <f>Tarifas!B26</f>
        <v>WENA-AM (Yauco)</v>
      </c>
      <c r="C68" s="15" t="str">
        <f>Tarifas!C26</f>
        <v>ROS 7 a. m.–5 p. m.</v>
      </c>
      <c r="D68" s="38">
        <f>Tarifas!E26</f>
        <v>28.52</v>
      </c>
      <c r="E68" s="39">
        <f>E27/$D$27</f>
        <v>8.5910607974021289</v>
      </c>
      <c r="F68" s="39">
        <f>F27/$D$27</f>
        <v>10.738829755246858</v>
      </c>
      <c r="G68" s="39">
        <f>G27/$D$27</f>
        <v>8.5910607974021289</v>
      </c>
      <c r="H68" s="39">
        <f t="shared" si="3"/>
        <v>27.920951350051116</v>
      </c>
      <c r="I68" s="16">
        <f t="shared" si="4"/>
        <v>796.31</v>
      </c>
      <c r="J68" s="18">
        <f t="shared" si="5"/>
        <v>7.963099999999999E-3</v>
      </c>
      <c r="K68" s="14"/>
      <c r="L68" s="14"/>
      <c r="M68" s="14"/>
      <c r="N68" s="14"/>
    </row>
    <row r="69" spans="2:14" ht="38.1" customHeight="1">
      <c r="B69" s="10" t="str">
        <f>Tarifas!B27</f>
        <v>SuperK 106Fm (Arecibo)</v>
      </c>
      <c r="C69" s="10" t="str">
        <f>Tarifas!C27</f>
        <v>ROS 7 a. m.–5 p. m.</v>
      </c>
      <c r="D69" s="36">
        <f>Tarifas!E27</f>
        <v>69</v>
      </c>
      <c r="E69" s="37">
        <f>E27/$D$27</f>
        <v>8.5910607974021289</v>
      </c>
      <c r="F69" s="37">
        <f>F27/$D$27</f>
        <v>10.738829755246858</v>
      </c>
      <c r="G69" s="37">
        <f>G27/$D$27</f>
        <v>8.5910607974021289</v>
      </c>
      <c r="H69" s="37">
        <f t="shared" si="3"/>
        <v>27.920951350051116</v>
      </c>
      <c r="I69" s="11">
        <f t="shared" si="4"/>
        <v>1926.55</v>
      </c>
      <c r="J69" s="13">
        <f t="shared" si="5"/>
        <v>1.9265499999999998E-2</v>
      </c>
      <c r="K69" s="9"/>
      <c r="L69" s="9"/>
      <c r="M69" s="9"/>
      <c r="N69" s="9"/>
    </row>
    <row r="70" spans="2:14" ht="38.1" customHeight="1">
      <c r="B70" s="15" t="str">
        <f>Tarifas!B28</f>
        <v>Radio Grito (Lares)-Hora del Grito 12md</v>
      </c>
      <c r="C70" s="15" t="s">
        <v>99</v>
      </c>
      <c r="D70" s="38">
        <f>Tarifas!E28</f>
        <v>27.6</v>
      </c>
      <c r="E70" s="39">
        <f>E27/$D$27</f>
        <v>8.5910607974021289</v>
      </c>
      <c r="F70" s="39">
        <f>F27/$D$27</f>
        <v>10.738829755246858</v>
      </c>
      <c r="G70" s="39">
        <f>G27/$D$27</f>
        <v>8.5910607974021289</v>
      </c>
      <c r="H70" s="39">
        <f t="shared" si="3"/>
        <v>27.920951350051116</v>
      </c>
      <c r="I70" s="16">
        <f t="shared" si="4"/>
        <v>770.62</v>
      </c>
      <c r="J70" s="18">
        <f t="shared" si="5"/>
        <v>7.7061999999999999E-3</v>
      </c>
      <c r="K70" s="14"/>
      <c r="L70" s="14"/>
      <c r="M70" s="14"/>
      <c r="N70" s="14"/>
    </row>
    <row r="71" spans="2:14" ht="38.1" customHeight="1">
      <c r="B71" s="10" t="str">
        <f>Tarifas!B29</f>
        <v>NotiUno (NORTE)-La Hornilla &amp; John Alma-Spots</v>
      </c>
      <c r="C71" s="10" t="s">
        <v>100</v>
      </c>
      <c r="D71" s="36">
        <f>Tarifas!E29</f>
        <v>50.6</v>
      </c>
      <c r="E71" s="37">
        <f>E27/$D$27</f>
        <v>8.5910607974021289</v>
      </c>
      <c r="F71" s="37">
        <f>F27/$D$27</f>
        <v>10.738829755246858</v>
      </c>
      <c r="G71" s="37">
        <f>G27/$D$27</f>
        <v>8.5910607974021289</v>
      </c>
      <c r="H71" s="37">
        <f t="shared" si="3"/>
        <v>27.920951350051116</v>
      </c>
      <c r="I71" s="11">
        <f t="shared" si="4"/>
        <v>1412.8</v>
      </c>
      <c r="J71" s="13">
        <f t="shared" si="5"/>
        <v>1.4128E-2</v>
      </c>
      <c r="K71" s="9"/>
      <c r="L71" s="9"/>
      <c r="M71" s="9"/>
      <c r="N71" s="9"/>
    </row>
    <row r="72" spans="2:14" ht="38.1" customHeight="1">
      <c r="B72" s="15" t="str">
        <f>Tarifas!B30</f>
        <v>NotiUno (SUR-Ponce) ROS</v>
      </c>
      <c r="C72" s="15" t="str">
        <f>Tarifas!C30</f>
        <v>ROS 7 a. m.–5 p. m.</v>
      </c>
      <c r="D72" s="38">
        <f>Tarifas!E30</f>
        <v>50.6</v>
      </c>
      <c r="E72" s="39">
        <f>E27/$D$27</f>
        <v>8.5910607974021289</v>
      </c>
      <c r="F72" s="39">
        <f>F27/$D$27</f>
        <v>10.738829755246858</v>
      </c>
      <c r="G72" s="39">
        <f>G27/$D$27</f>
        <v>8.5910607974021289</v>
      </c>
      <c r="H72" s="39">
        <f t="shared" si="3"/>
        <v>27.920951350051116</v>
      </c>
      <c r="I72" s="16">
        <f>ROUND(I27-SUM(I55:I71),2)</f>
        <v>1412.75</v>
      </c>
      <c r="J72" s="18">
        <f t="shared" si="5"/>
        <v>1.4127499999999999E-2</v>
      </c>
      <c r="K72" s="14"/>
      <c r="L72" s="14"/>
      <c r="M72" s="14"/>
      <c r="N72" s="14"/>
    </row>
    <row r="73" spans="2:14" ht="30" customHeight="1">
      <c r="B73" s="19" t="s">
        <v>101</v>
      </c>
      <c r="C73" s="19"/>
      <c r="D73" s="19"/>
      <c r="E73" s="19"/>
      <c r="F73" s="19"/>
      <c r="G73" s="19"/>
      <c r="H73" s="19"/>
      <c r="I73" s="20">
        <f>SUM(I55:I72)</f>
        <v>18571.899999999998</v>
      </c>
      <c r="J73" s="19"/>
      <c r="K73" s="19"/>
      <c r="L73" s="19"/>
      <c r="M73" s="19"/>
      <c r="N73" s="19"/>
    </row>
    <row r="74" spans="2:14" ht="24.95" customHeight="1">
      <c r="B74" s="47" t="s">
        <v>42</v>
      </c>
      <c r="C74" s="47"/>
      <c r="D74" s="47"/>
      <c r="E74" s="47"/>
      <c r="F74" s="47"/>
      <c r="G74" s="47"/>
      <c r="H74" s="47"/>
      <c r="I74" s="47"/>
      <c r="J74" s="47"/>
      <c r="K74" s="47"/>
      <c r="L74" s="47"/>
      <c r="M74" s="47"/>
      <c r="N74" s="47"/>
    </row>
    <row r="75" spans="2:14" ht="38.1" customHeight="1">
      <c r="B75" s="10" t="str">
        <f>Tarifas!B31</f>
        <v>Planet</v>
      </c>
      <c r="C75" s="10" t="str">
        <f>Tarifas!C31</f>
        <v>10 puntos × 5 días</v>
      </c>
      <c r="D75" s="36">
        <f>Tarifas!E31</f>
        <v>5980</v>
      </c>
      <c r="E75" s="37">
        <f>E28/$D$28</f>
        <v>0.42955305564001217</v>
      </c>
      <c r="F75" s="37">
        <f>F28/$D$28</f>
        <v>0.42955305564001217</v>
      </c>
      <c r="G75" s="37">
        <f>G28/$D$28</f>
        <v>0.21477652782000609</v>
      </c>
      <c r="H75" s="37">
        <f>SUM(E75:G75)</f>
        <v>1.0738826391000305</v>
      </c>
      <c r="I75" s="11">
        <f>ROUND(H75*D75,2)</f>
        <v>6421.82</v>
      </c>
      <c r="J75" s="13">
        <f>I75/$C$23</f>
        <v>6.4218200000000003E-2</v>
      </c>
      <c r="K75" s="9"/>
      <c r="L75" s="9"/>
      <c r="M75" s="9"/>
      <c r="N75" s="9"/>
    </row>
    <row r="76" spans="2:14" ht="38.1" customHeight="1">
      <c r="B76" s="15" t="str">
        <f>Tarifas!B32</f>
        <v>BMedia</v>
      </c>
      <c r="C76" s="15" t="str">
        <f>Tarifas!C32</f>
        <v>7 puntos × 5 días</v>
      </c>
      <c r="D76" s="38">
        <f>Tarifas!E32</f>
        <v>4025</v>
      </c>
      <c r="E76" s="39">
        <f>E28/$D$28</f>
        <v>0.42955305564001217</v>
      </c>
      <c r="F76" s="39">
        <f>F28/$D$28</f>
        <v>0.42955305564001217</v>
      </c>
      <c r="G76" s="39">
        <f>G28/$D$28</f>
        <v>0.21477652782000609</v>
      </c>
      <c r="H76" s="39">
        <f>SUM(E76:G76)</f>
        <v>1.0738826391000305</v>
      </c>
      <c r="I76" s="16">
        <f>ROUND(H76*D76,2)</f>
        <v>4322.38</v>
      </c>
      <c r="J76" s="18">
        <f>I76/$C$23</f>
        <v>4.32238E-2</v>
      </c>
      <c r="K76" s="14"/>
      <c r="L76" s="14"/>
      <c r="M76" s="14"/>
      <c r="N76" s="14"/>
    </row>
    <row r="77" spans="2:14" ht="38.1" customHeight="1">
      <c r="B77" s="10" t="s">
        <v>166</v>
      </c>
      <c r="C77" s="10" t="str">
        <f>Tarifas!C33</f>
        <v>5 puntos × 5 días</v>
      </c>
      <c r="D77" s="36">
        <f>Tarifas!E33</f>
        <v>2300</v>
      </c>
      <c r="E77" s="37">
        <f>E28/$D$28</f>
        <v>0.42955305564001217</v>
      </c>
      <c r="F77" s="37">
        <f>F28/$D$28</f>
        <v>0.42955305564001217</v>
      </c>
      <c r="G77" s="37">
        <f>G28/$D$28</f>
        <v>0.21477652782000609</v>
      </c>
      <c r="H77" s="37">
        <f>SUM(E77:G77)</f>
        <v>1.0738826391000305</v>
      </c>
      <c r="I77" s="11">
        <f>ROUND(H77*D77,2)</f>
        <v>2469.9299999999998</v>
      </c>
      <c r="J77" s="13">
        <f>I77/$C$23</f>
        <v>2.4699299999999997E-2</v>
      </c>
      <c r="K77" s="9"/>
      <c r="L77" s="9"/>
      <c r="M77" s="9"/>
      <c r="N77" s="9"/>
    </row>
    <row r="78" spans="2:14" ht="38.1" customHeight="1">
      <c r="B78" s="15" t="str">
        <f>Tarifas!B34</f>
        <v>Yes</v>
      </c>
      <c r="C78" s="15" t="str">
        <f>Tarifas!C34</f>
        <v>6 puntos × 5 días</v>
      </c>
      <c r="D78" s="38">
        <f>Tarifas!E34</f>
        <v>4140</v>
      </c>
      <c r="E78" s="39">
        <f>E28/$D$28</f>
        <v>0.42955305564001217</v>
      </c>
      <c r="F78" s="39">
        <f>F28/$D$28</f>
        <v>0.42955305564001217</v>
      </c>
      <c r="G78" s="39">
        <f>G28/$D$28</f>
        <v>0.21477652782000609</v>
      </c>
      <c r="H78" s="39">
        <f>SUM(E78:G78)</f>
        <v>1.0738826391000305</v>
      </c>
      <c r="I78" s="16">
        <f>ROUND(I28-SUM(I75:I77),2)</f>
        <v>4445.87</v>
      </c>
      <c r="J78" s="18">
        <f>I78/$C$23</f>
        <v>4.4458699999999997E-2</v>
      </c>
      <c r="K78" s="14"/>
      <c r="L78" s="14"/>
      <c r="M78" s="14"/>
      <c r="N78" s="14"/>
    </row>
    <row r="79" spans="2:14" ht="30" customHeight="1">
      <c r="B79" s="19" t="s">
        <v>123</v>
      </c>
      <c r="C79" s="19"/>
      <c r="D79" s="19"/>
      <c r="E79" s="19"/>
      <c r="F79" s="19"/>
      <c r="G79" s="19"/>
      <c r="H79" s="19"/>
      <c r="I79" s="20">
        <f>SUM(I75:I78)</f>
        <v>17660</v>
      </c>
      <c r="J79" s="19"/>
      <c r="K79" s="19"/>
      <c r="L79" s="19"/>
      <c r="M79" s="19"/>
      <c r="N79" s="19"/>
    </row>
    <row r="80" spans="2:14" ht="27.95" customHeight="1">
      <c r="B80" s="45" t="s">
        <v>124</v>
      </c>
      <c r="C80" s="45"/>
      <c r="D80" s="45"/>
      <c r="E80" s="45"/>
      <c r="F80" s="45"/>
      <c r="G80" s="45"/>
      <c r="H80" s="45"/>
      <c r="I80" s="45"/>
      <c r="J80" s="45"/>
      <c r="K80" s="45"/>
      <c r="L80" s="45"/>
      <c r="M80" s="45"/>
      <c r="N80" s="45"/>
    </row>
    <row r="81" spans="2:14" ht="24.95" customHeight="1">
      <c r="B81" s="47" t="s">
        <v>43</v>
      </c>
      <c r="C81" s="47"/>
      <c r="D81" s="47"/>
      <c r="E81" s="47"/>
      <c r="F81" s="47"/>
      <c r="G81" s="47"/>
      <c r="H81" s="47"/>
      <c r="I81" s="47"/>
      <c r="J81" s="47"/>
      <c r="K81" s="47"/>
      <c r="L81" s="47"/>
      <c r="M81" s="47"/>
      <c r="N81" s="47"/>
    </row>
    <row r="82" spans="2:14" ht="38.1" customHeight="1">
      <c r="B82" s="10" t="str">
        <f>Tarifas!B35</f>
        <v>Meta</v>
      </c>
      <c r="C82" s="10" t="str">
        <f>Tarifas!C35</f>
        <v>Video / Reels / Stories</v>
      </c>
      <c r="D82" s="36">
        <f>Tarifas!E35</f>
        <v>8.625</v>
      </c>
      <c r="E82" s="40">
        <f>ROUNDDOWN(E29/$D82*1000,0)</f>
        <v>569210</v>
      </c>
      <c r="F82" s="40">
        <f>ROUNDDOWN(F29/$D82*1000,0)</f>
        <v>1254308</v>
      </c>
      <c r="G82" s="40">
        <f>ROUNDDOWN(G29/$D82*1000,0)</f>
        <v>978717</v>
      </c>
      <c r="H82" s="40">
        <f>SUM(E82:G82)</f>
        <v>2802235</v>
      </c>
      <c r="I82" s="11">
        <f>I29</f>
        <v>24169.29</v>
      </c>
      <c r="J82" s="13">
        <f>I82/$C$23</f>
        <v>0.24169290000000002</v>
      </c>
      <c r="K82" s="9"/>
      <c r="L82" s="9"/>
      <c r="M82" s="9"/>
      <c r="N82" s="9"/>
    </row>
    <row r="83" spans="2:14" ht="30" customHeight="1">
      <c r="B83" s="19" t="s">
        <v>102</v>
      </c>
      <c r="C83" s="19"/>
      <c r="D83" s="19"/>
      <c r="E83" s="19"/>
      <c r="F83" s="19"/>
      <c r="G83" s="19"/>
      <c r="H83" s="19"/>
      <c r="I83" s="20">
        <f>SUM(I82:I82)</f>
        <v>24169.29</v>
      </c>
      <c r="J83" s="19"/>
      <c r="K83" s="19"/>
      <c r="L83" s="19"/>
      <c r="M83" s="19"/>
      <c r="N83" s="19"/>
    </row>
    <row r="84" spans="2:14" ht="24.95" customHeight="1">
      <c r="B84" s="47" t="s">
        <v>45</v>
      </c>
      <c r="C84" s="47"/>
      <c r="D84" s="47"/>
      <c r="E84" s="47"/>
      <c r="F84" s="47"/>
      <c r="G84" s="47"/>
      <c r="H84" s="47"/>
      <c r="I84" s="47"/>
      <c r="J84" s="47"/>
      <c r="K84" s="47"/>
      <c r="L84" s="47"/>
      <c r="M84" s="47"/>
      <c r="N84" s="47"/>
    </row>
    <row r="85" spans="2:14" ht="38.1" customHeight="1">
      <c r="B85" s="10" t="str">
        <f>Tarifas!B37</f>
        <v>Programática</v>
      </c>
      <c r="C85" s="10" t="str">
        <f>Tarifas!C37</f>
        <v>Display premium local</v>
      </c>
      <c r="D85" s="36">
        <f>Tarifas!E37</f>
        <v>9.1999999999999993</v>
      </c>
      <c r="E85" s="40">
        <f>ROUNDDOWN(E30/$D85*1000,0)</f>
        <v>163043</v>
      </c>
      <c r="F85" s="40">
        <f>ROUNDDOWN(F30/$D85*1000,0)</f>
        <v>217391</v>
      </c>
      <c r="G85" s="40">
        <f>ROUNDDOWN(G30/$D85*1000,0)</f>
        <v>163045</v>
      </c>
      <c r="H85" s="40">
        <f>SUM(E85:G85)</f>
        <v>543479</v>
      </c>
      <c r="I85" s="11">
        <f>I30</f>
        <v>5000.0200000000004</v>
      </c>
      <c r="J85" s="13">
        <f>I85/$C$23</f>
        <v>5.0000200000000002E-2</v>
      </c>
      <c r="K85" s="9"/>
      <c r="L85" s="9"/>
      <c r="M85" s="9"/>
      <c r="N85" s="9"/>
    </row>
    <row r="86" spans="2:14" ht="30" customHeight="1">
      <c r="B86" s="19" t="s">
        <v>150</v>
      </c>
      <c r="C86" s="19"/>
      <c r="D86" s="19"/>
      <c r="E86" s="19"/>
      <c r="F86" s="19"/>
      <c r="G86" s="19"/>
      <c r="H86" s="19"/>
      <c r="I86" s="20">
        <f>SUM(I85:I85)</f>
        <v>5000.0200000000004</v>
      </c>
      <c r="J86" s="19"/>
      <c r="K86" s="19"/>
      <c r="L86" s="19"/>
      <c r="M86" s="19"/>
      <c r="N86" s="19"/>
    </row>
    <row r="88" spans="2:14" ht="24.95" customHeight="1">
      <c r="B88" s="47" t="s">
        <v>136</v>
      </c>
      <c r="C88" s="47"/>
      <c r="D88" s="47"/>
      <c r="E88" s="47"/>
      <c r="F88" s="47"/>
      <c r="G88" s="47"/>
      <c r="H88" s="47"/>
      <c r="I88" s="47"/>
      <c r="J88" s="47"/>
      <c r="K88" s="47"/>
      <c r="L88" s="47"/>
      <c r="M88" s="47"/>
      <c r="N88" s="47"/>
    </row>
    <row r="89" spans="2:14" ht="42" customHeight="1">
      <c r="B89" s="6" t="s">
        <v>38</v>
      </c>
      <c r="C89" s="7" t="s">
        <v>137</v>
      </c>
      <c r="D89" s="7" t="s">
        <v>138</v>
      </c>
      <c r="E89" s="7" t="s">
        <v>139</v>
      </c>
      <c r="F89" s="50" t="s">
        <v>140</v>
      </c>
      <c r="G89" s="51"/>
      <c r="H89" s="51"/>
      <c r="I89" s="51"/>
      <c r="J89" s="51"/>
      <c r="K89" s="51"/>
      <c r="L89" s="51"/>
      <c r="M89" s="51"/>
      <c r="N89" s="51"/>
    </row>
    <row r="90" spans="2:14" ht="60" customHeight="1">
      <c r="B90" s="10" t="s">
        <v>8</v>
      </c>
      <c r="C90" s="10" t="s">
        <v>141</v>
      </c>
      <c r="D90" s="10" t="s">
        <v>141</v>
      </c>
      <c r="E90" s="43" t="s">
        <v>141</v>
      </c>
      <c r="F90" s="48" t="s">
        <v>142</v>
      </c>
      <c r="G90" s="48"/>
      <c r="H90" s="48"/>
      <c r="I90" s="48"/>
      <c r="J90" s="48"/>
      <c r="K90" s="48"/>
      <c r="L90" s="48"/>
      <c r="M90" s="48"/>
      <c r="N90" s="48"/>
    </row>
    <row r="91" spans="2:14" ht="60" customHeight="1">
      <c r="B91" s="15" t="s">
        <v>41</v>
      </c>
      <c r="C91" s="15" t="s">
        <v>141</v>
      </c>
      <c r="D91" s="15" t="s">
        <v>141</v>
      </c>
      <c r="E91" s="44" t="s">
        <v>141</v>
      </c>
      <c r="F91" s="49" t="s">
        <v>143</v>
      </c>
      <c r="G91" s="49"/>
      <c r="H91" s="49"/>
      <c r="I91" s="49"/>
      <c r="J91" s="49"/>
      <c r="K91" s="49"/>
      <c r="L91" s="49"/>
      <c r="M91" s="49"/>
      <c r="N91" s="49"/>
    </row>
    <row r="92" spans="2:14" ht="60" customHeight="1">
      <c r="B92" s="10" t="s">
        <v>42</v>
      </c>
      <c r="C92" s="10" t="s">
        <v>141</v>
      </c>
      <c r="D92" s="10" t="s">
        <v>141</v>
      </c>
      <c r="E92" s="43" t="s">
        <v>141</v>
      </c>
      <c r="F92" s="48" t="s">
        <v>167</v>
      </c>
      <c r="G92" s="48"/>
      <c r="H92" s="48"/>
      <c r="I92" s="48"/>
      <c r="J92" s="48"/>
      <c r="K92" s="48"/>
      <c r="L92" s="48"/>
      <c r="M92" s="48"/>
      <c r="N92" s="48"/>
    </row>
    <row r="93" spans="2:14" ht="60" customHeight="1">
      <c r="B93" s="15" t="s">
        <v>43</v>
      </c>
      <c r="C93" s="15" t="s">
        <v>141</v>
      </c>
      <c r="D93" s="15" t="s">
        <v>141</v>
      </c>
      <c r="E93" s="44">
        <f>H29</f>
        <v>2802235</v>
      </c>
      <c r="F93" s="49" t="s">
        <v>144</v>
      </c>
      <c r="G93" s="49"/>
      <c r="H93" s="49"/>
      <c r="I93" s="49"/>
      <c r="J93" s="49"/>
      <c r="K93" s="49"/>
      <c r="L93" s="49"/>
      <c r="M93" s="49"/>
      <c r="N93" s="49"/>
    </row>
    <row r="94" spans="2:14" ht="60" customHeight="1">
      <c r="B94" s="10" t="s">
        <v>45</v>
      </c>
      <c r="C94" s="10" t="s">
        <v>141</v>
      </c>
      <c r="D94" s="10" t="s">
        <v>141</v>
      </c>
      <c r="E94" s="43">
        <f>H30</f>
        <v>543479</v>
      </c>
      <c r="F94" s="48" t="s">
        <v>144</v>
      </c>
      <c r="G94" s="48"/>
      <c r="H94" s="48"/>
      <c r="I94" s="48"/>
      <c r="J94" s="48"/>
      <c r="K94" s="48"/>
      <c r="L94" s="48"/>
      <c r="M94" s="48"/>
      <c r="N94" s="48"/>
    </row>
    <row r="98" spans="2:14" ht="24.95" customHeight="1">
      <c r="B98" s="47" t="s">
        <v>168</v>
      </c>
      <c r="C98" s="47"/>
      <c r="D98" s="47"/>
      <c r="E98" s="47"/>
      <c r="F98" s="47"/>
      <c r="G98" s="47"/>
      <c r="H98" s="47"/>
      <c r="I98" s="47"/>
      <c r="J98" s="47"/>
      <c r="K98" s="47"/>
      <c r="L98" s="47"/>
      <c r="M98" s="47"/>
      <c r="N98" s="47"/>
    </row>
    <row r="99" spans="2:14" ht="32.1" customHeight="1">
      <c r="B99" s="45" t="s">
        <v>169</v>
      </c>
      <c r="C99" s="45"/>
      <c r="D99" s="45"/>
      <c r="E99" s="45"/>
      <c r="F99" s="45"/>
      <c r="G99" s="45"/>
      <c r="H99" s="45"/>
      <c r="I99" s="45"/>
      <c r="J99" s="45"/>
      <c r="K99" s="45"/>
      <c r="L99" s="45"/>
      <c r="M99" s="45"/>
      <c r="N99" s="45"/>
    </row>
    <row r="100" spans="2:14" ht="32.1" customHeight="1">
      <c r="B100" s="45" t="s">
        <v>170</v>
      </c>
      <c r="C100" s="45"/>
      <c r="D100" s="45"/>
      <c r="E100" s="45"/>
      <c r="F100" s="45"/>
      <c r="G100" s="45"/>
      <c r="H100" s="45"/>
      <c r="I100" s="45"/>
      <c r="J100" s="45"/>
      <c r="K100" s="45"/>
      <c r="L100" s="45"/>
      <c r="M100" s="45"/>
      <c r="N100" s="45"/>
    </row>
    <row r="101" spans="2:14" ht="33.950000000000003" customHeight="1">
      <c r="B101" s="45" t="s">
        <v>171</v>
      </c>
      <c r="C101" s="45"/>
      <c r="D101" s="45"/>
      <c r="E101" s="45"/>
      <c r="F101" s="45"/>
      <c r="G101" s="45"/>
      <c r="H101" s="45"/>
      <c r="I101" s="45"/>
      <c r="J101" s="45"/>
      <c r="K101" s="45"/>
      <c r="L101" s="45"/>
      <c r="M101" s="45"/>
      <c r="N101" s="45"/>
    </row>
    <row r="102" spans="2:14">
      <c r="B102" s="2" t="s">
        <v>61</v>
      </c>
      <c r="C102" s="35">
        <f>'AGA y criterios'!D34</f>
        <v>100000</v>
      </c>
    </row>
    <row r="104" spans="2:14" ht="42" customHeight="1">
      <c r="B104" s="6" t="s">
        <v>38</v>
      </c>
      <c r="C104" s="7" t="s">
        <v>63</v>
      </c>
      <c r="D104" s="7" t="s">
        <v>64</v>
      </c>
      <c r="E104" s="7" t="s">
        <v>164</v>
      </c>
      <c r="F104" s="7" t="s">
        <v>165</v>
      </c>
      <c r="G104" s="7" t="s">
        <v>69</v>
      </c>
      <c r="H104" s="7" t="s">
        <v>72</v>
      </c>
      <c r="I104" s="7" t="s">
        <v>2</v>
      </c>
      <c r="J104" s="8" t="s">
        <v>13</v>
      </c>
    </row>
    <row r="105" spans="2:14" ht="30.95" customHeight="1">
      <c r="B105" s="10" t="s">
        <v>8</v>
      </c>
      <c r="C105" s="10" t="s">
        <v>73</v>
      </c>
      <c r="D105" s="36">
        <f>SUM(Tarifas!E7:E12)</f>
        <v>10068.25</v>
      </c>
      <c r="E105" s="11">
        <f>ROUND($C$102*('Base de distribución'!E99/SUM('Base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10812.12</v>
      </c>
      <c r="F105" s="11">
        <f>ROUND($C$102*('Base de distribución'!E100/SUM('Base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12974.55</v>
      </c>
      <c r="G105" s="11">
        <f>ROUND($C$102*('Base de distribución'!E101/SUM('Base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10812.12</v>
      </c>
      <c r="H105" s="37">
        <f>SUM(H126:H131)</f>
        <v>20.618552380006459</v>
      </c>
      <c r="I105" s="11">
        <f>SUM(E105:G105)</f>
        <v>34598.79</v>
      </c>
      <c r="J105" s="13">
        <f>I105/$C$102</f>
        <v>0.34598790000000001</v>
      </c>
      <c r="K105" s="9"/>
      <c r="L105" s="9"/>
      <c r="M105" s="9"/>
      <c r="N105" s="9"/>
    </row>
    <row r="106" spans="2:14" ht="30.95" customHeight="1">
      <c r="B106" s="15" t="s">
        <v>41</v>
      </c>
      <c r="C106" s="15" t="s">
        <v>74</v>
      </c>
      <c r="D106" s="38">
        <f>SUM(Tarifas!E13:E30)</f>
        <v>665.16</v>
      </c>
      <c r="E106" s="16">
        <f>ROUND($C$102*('Base de distribución'!E102/SUM('Base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5714.43</v>
      </c>
      <c r="F106" s="16">
        <f>ROUND($C$102*('Base de distribución'!E103/SUM('Base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7143.04</v>
      </c>
      <c r="G106" s="16">
        <f>ROUND($C$102*('Base de distribución'!E104/SUM('Base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5714.43</v>
      </c>
      <c r="H106" s="39">
        <f>SUM(H134:H151)</f>
        <v>502.57712430091999</v>
      </c>
      <c r="I106" s="16">
        <f>SUM(E106:G106)</f>
        <v>18571.900000000001</v>
      </c>
      <c r="J106" s="18">
        <f>I106/$C$102</f>
        <v>0.18571900000000002</v>
      </c>
      <c r="K106" s="14"/>
      <c r="L106" s="14"/>
      <c r="M106" s="14"/>
      <c r="N106" s="14"/>
    </row>
    <row r="107" spans="2:14" ht="30.95" customHeight="1">
      <c r="B107" s="10" t="s">
        <v>42</v>
      </c>
      <c r="C107" s="10" t="s">
        <v>120</v>
      </c>
      <c r="D107" s="36">
        <f>SUM(Tarifas!E31:E34)</f>
        <v>16445</v>
      </c>
      <c r="E107" s="11">
        <f>ROUND($C$102*('Base de distribución'!E105/SUM('Base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7064</v>
      </c>
      <c r="F107" s="11">
        <f>ROUND($C$102*('Base de distribución'!E106/SUM('Base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7064</v>
      </c>
      <c r="G107" s="11">
        <f>ROUND($C$102*('Base de distribución'!E107/SUM('Base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3532</v>
      </c>
      <c r="H107" s="37">
        <f>H154*Tarifas!F31+H155*Tarifas!F32+H156*Tarifas!F33+H157*Tarifas!F34</f>
        <v>30.068713894800855</v>
      </c>
      <c r="I107" s="11">
        <f>SUM(E107:G107)</f>
        <v>17660</v>
      </c>
      <c r="J107" s="13">
        <f>I107/$C$102</f>
        <v>0.17660000000000001</v>
      </c>
      <c r="K107" s="9"/>
      <c r="L107" s="9"/>
      <c r="M107" s="9"/>
      <c r="N107" s="9"/>
    </row>
    <row r="108" spans="2:14" ht="30.95" customHeight="1">
      <c r="B108" s="15" t="s">
        <v>43</v>
      </c>
      <c r="C108" s="15" t="s">
        <v>75</v>
      </c>
      <c r="D108" s="38">
        <f>Tarifas!E35</f>
        <v>8.625</v>
      </c>
      <c r="E108" s="16">
        <f>ROUND($C$102*('Base de distribución'!E108/SUM('Base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4909.4399999999996</v>
      </c>
      <c r="F108" s="16">
        <f>ROUND($C$102*('Base de distribución'!E109/SUM('Base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10818.41</v>
      </c>
      <c r="G108" s="16">
        <f>ROUND($C$102*('Base de distribución'!E110/SUM('Base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8441.44</v>
      </c>
      <c r="H108" s="41">
        <f>SUM(H161:H161)</f>
        <v>2802235</v>
      </c>
      <c r="I108" s="16">
        <f>SUM(E108:G108)</f>
        <v>24169.29</v>
      </c>
      <c r="J108" s="18">
        <f>I108/$C$102</f>
        <v>0.24169290000000002</v>
      </c>
      <c r="K108" s="14"/>
      <c r="L108" s="14"/>
      <c r="M108" s="14"/>
      <c r="N108" s="14"/>
    </row>
    <row r="109" spans="2:14" ht="30.95" customHeight="1">
      <c r="B109" s="10" t="s">
        <v>45</v>
      </c>
      <c r="C109" s="10" t="s">
        <v>75</v>
      </c>
      <c r="D109" s="36">
        <f>Tarifas!E37</f>
        <v>9.1999999999999993</v>
      </c>
      <c r="E109" s="11">
        <f>ROUND($C$102*('Base de distribución'!E111/SUM('Base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1500</v>
      </c>
      <c r="F109" s="11">
        <f>ROUND($C$102*('Base de distribución'!E112/SUM('Base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2000</v>
      </c>
      <c r="G109" s="11">
        <f>ROUND($C$102-SUM(E105:G105,E106:G106,E107:G107,E108:G108,E109:F109),2)</f>
        <v>1500.02</v>
      </c>
      <c r="H109" s="40">
        <f>SUM(H164:H164)</f>
        <v>543479</v>
      </c>
      <c r="I109" s="11">
        <f>SUM(E109:G109)</f>
        <v>5000.0200000000004</v>
      </c>
      <c r="J109" s="13">
        <f>I109/$C$102</f>
        <v>5.0000200000000002E-2</v>
      </c>
      <c r="K109" s="9"/>
      <c r="L109" s="9"/>
      <c r="M109" s="9"/>
      <c r="N109" s="9"/>
    </row>
    <row r="110" spans="2:14" ht="30" customHeight="1">
      <c r="B110" s="19" t="s">
        <v>78</v>
      </c>
      <c r="C110" s="19"/>
      <c r="D110" s="19"/>
      <c r="E110" s="20">
        <f>SUM(E105:E109)</f>
        <v>29999.99</v>
      </c>
      <c r="F110" s="20">
        <f>SUM(F105:F109)</f>
        <v>40000</v>
      </c>
      <c r="G110" s="20">
        <f>SUM(G105:G109)</f>
        <v>30000.010000000006</v>
      </c>
      <c r="H110" s="19"/>
      <c r="I110" s="20">
        <f>SUM(I105:I109)</f>
        <v>100000.00000000001</v>
      </c>
      <c r="J110" s="22">
        <f>SUM(J105:J109)</f>
        <v>1</v>
      </c>
      <c r="K110" s="19"/>
      <c r="L110" s="19"/>
      <c r="M110" s="19"/>
      <c r="N110" s="19"/>
    </row>
    <row r="111" spans="2:14">
      <c r="B111" s="2" t="s">
        <v>79</v>
      </c>
      <c r="C111" s="42">
        <f>ROUND(C102-I110,2)</f>
        <v>0</v>
      </c>
    </row>
    <row r="112" spans="2:14" ht="32.1" customHeight="1">
      <c r="B112" s="45" t="s">
        <v>80</v>
      </c>
      <c r="C112" s="45"/>
      <c r="D112" s="45"/>
      <c r="E112" s="45"/>
      <c r="F112" s="45"/>
      <c r="G112" s="45"/>
      <c r="H112" s="45"/>
      <c r="I112" s="45"/>
      <c r="J112" s="45"/>
      <c r="K112" s="45"/>
      <c r="L112" s="45"/>
      <c r="M112" s="45"/>
      <c r="N112" s="45"/>
    </row>
    <row r="113" spans="2:14" ht="32.1" customHeight="1">
      <c r="B113" s="45" t="s">
        <v>81</v>
      </c>
      <c r="C113" s="45"/>
      <c r="D113" s="45"/>
      <c r="E113" s="45"/>
      <c r="F113" s="45"/>
      <c r="G113" s="45"/>
      <c r="H113" s="45"/>
      <c r="I113" s="45"/>
      <c r="J113" s="45"/>
      <c r="K113" s="45"/>
      <c r="L113" s="45"/>
      <c r="M113" s="45"/>
      <c r="N113" s="45"/>
    </row>
    <row r="115" spans="2:14" ht="24.95" customHeight="1">
      <c r="B115" s="47" t="s">
        <v>82</v>
      </c>
      <c r="C115" s="47"/>
      <c r="D115" s="47"/>
      <c r="E115" s="47"/>
      <c r="F115" s="47"/>
      <c r="G115" s="47"/>
      <c r="H115" s="47"/>
      <c r="I115" s="47"/>
      <c r="J115" s="47"/>
      <c r="K115" s="47"/>
      <c r="L115" s="47"/>
      <c r="M115" s="47"/>
      <c r="N115" s="47"/>
    </row>
    <row r="116" spans="2:14" ht="42" customHeight="1">
      <c r="B116" s="6" t="s">
        <v>38</v>
      </c>
      <c r="C116" s="7" t="s">
        <v>83</v>
      </c>
      <c r="D116" s="7" t="s">
        <v>84</v>
      </c>
      <c r="E116" s="7" t="s">
        <v>164</v>
      </c>
      <c r="F116" s="7" t="s">
        <v>165</v>
      </c>
      <c r="G116" s="8" t="s">
        <v>69</v>
      </c>
    </row>
    <row r="117" spans="2:14" ht="44.1" customHeight="1">
      <c r="B117" s="10" t="s">
        <v>8</v>
      </c>
      <c r="C117" s="10" t="s">
        <v>85</v>
      </c>
      <c r="D117" s="10" t="s">
        <v>86</v>
      </c>
      <c r="E117" s="9" t="s">
        <v>164</v>
      </c>
      <c r="F117" s="9" t="s">
        <v>165</v>
      </c>
      <c r="G117" s="9" t="s">
        <v>69</v>
      </c>
      <c r="H117" s="9"/>
      <c r="I117" s="9"/>
      <c r="J117" s="9"/>
      <c r="K117" s="9"/>
      <c r="L117" s="9"/>
      <c r="M117" s="9"/>
      <c r="N117" s="9"/>
    </row>
    <row r="118" spans="2:14" ht="44.1" customHeight="1">
      <c r="B118" s="15" t="s">
        <v>41</v>
      </c>
      <c r="C118" s="15" t="s">
        <v>87</v>
      </c>
      <c r="D118" s="15" t="s">
        <v>88</v>
      </c>
      <c r="E118" s="14" t="s">
        <v>164</v>
      </c>
      <c r="F118" s="14" t="s">
        <v>165</v>
      </c>
      <c r="G118" s="14" t="s">
        <v>69</v>
      </c>
      <c r="H118" s="14"/>
      <c r="I118" s="14"/>
      <c r="J118" s="14"/>
      <c r="K118" s="14"/>
      <c r="L118" s="14"/>
      <c r="M118" s="14"/>
      <c r="N118" s="14"/>
    </row>
    <row r="119" spans="2:14" ht="44.1" customHeight="1">
      <c r="B119" s="10" t="s">
        <v>42</v>
      </c>
      <c r="C119" s="10" t="s">
        <v>121</v>
      </c>
      <c r="D119" s="10" t="s">
        <v>88</v>
      </c>
      <c r="E119" s="9" t="s">
        <v>164</v>
      </c>
      <c r="F119" s="9" t="s">
        <v>165</v>
      </c>
      <c r="G119" s="9" t="s">
        <v>69</v>
      </c>
      <c r="H119" s="9"/>
      <c r="I119" s="9"/>
      <c r="J119" s="9"/>
      <c r="K119" s="9"/>
      <c r="L119" s="9"/>
      <c r="M119" s="9"/>
      <c r="N119" s="9"/>
    </row>
    <row r="120" spans="2:14" ht="44.1" customHeight="1">
      <c r="B120" s="15" t="s">
        <v>43</v>
      </c>
      <c r="C120" s="15" t="s">
        <v>89</v>
      </c>
      <c r="D120" s="15" t="s">
        <v>86</v>
      </c>
      <c r="E120" s="14" t="s">
        <v>164</v>
      </c>
      <c r="F120" s="14" t="s">
        <v>165</v>
      </c>
      <c r="G120" s="14" t="s">
        <v>69</v>
      </c>
      <c r="H120" s="14"/>
      <c r="I120" s="14"/>
      <c r="J120" s="14"/>
      <c r="K120" s="14"/>
      <c r="L120" s="14"/>
      <c r="M120" s="14"/>
      <c r="N120" s="14"/>
    </row>
    <row r="121" spans="2:14" ht="44.1" customHeight="1">
      <c r="B121" s="10" t="s">
        <v>45</v>
      </c>
      <c r="C121" s="10" t="s">
        <v>149</v>
      </c>
      <c r="D121" s="10" t="s">
        <v>86</v>
      </c>
      <c r="E121" s="9" t="s">
        <v>164</v>
      </c>
      <c r="F121" s="9" t="s">
        <v>165</v>
      </c>
      <c r="G121" s="9" t="s">
        <v>69</v>
      </c>
      <c r="H121" s="9"/>
      <c r="I121" s="9"/>
      <c r="J121" s="9"/>
      <c r="K121" s="9"/>
      <c r="L121" s="9"/>
      <c r="M121" s="9"/>
      <c r="N121" s="9"/>
    </row>
    <row r="123" spans="2:14" ht="24.95" customHeight="1">
      <c r="B123" s="47" t="s">
        <v>93</v>
      </c>
      <c r="C123" s="47"/>
      <c r="D123" s="47"/>
      <c r="E123" s="47"/>
      <c r="F123" s="47"/>
      <c r="G123" s="47"/>
      <c r="H123" s="47"/>
      <c r="I123" s="47"/>
      <c r="J123" s="47"/>
      <c r="K123" s="47"/>
      <c r="L123" s="47"/>
      <c r="M123" s="47"/>
      <c r="N123" s="47"/>
    </row>
    <row r="124" spans="2:14" ht="42" customHeight="1">
      <c r="B124" s="6" t="s">
        <v>94</v>
      </c>
      <c r="C124" s="7" t="s">
        <v>95</v>
      </c>
      <c r="D124" s="7" t="s">
        <v>64</v>
      </c>
      <c r="E124" s="7" t="s">
        <v>164</v>
      </c>
      <c r="F124" s="7" t="s">
        <v>165</v>
      </c>
      <c r="G124" s="7" t="s">
        <v>69</v>
      </c>
      <c r="H124" s="7" t="s">
        <v>96</v>
      </c>
      <c r="I124" s="7" t="s">
        <v>2</v>
      </c>
      <c r="J124" s="8" t="s">
        <v>97</v>
      </c>
    </row>
    <row r="125" spans="2:14" ht="24.95" customHeight="1">
      <c r="B125" s="47" t="s">
        <v>8</v>
      </c>
      <c r="C125" s="47"/>
      <c r="D125" s="47"/>
      <c r="E125" s="47"/>
      <c r="F125" s="47"/>
      <c r="G125" s="47"/>
      <c r="H125" s="47"/>
      <c r="I125" s="47"/>
      <c r="J125" s="47"/>
      <c r="K125" s="47"/>
      <c r="L125" s="47"/>
      <c r="M125" s="47"/>
      <c r="N125" s="47"/>
    </row>
    <row r="126" spans="2:14" ht="38.1" customHeight="1">
      <c r="B126" s="10" t="str">
        <f>Tarifas!B7</f>
        <v>Telemundo</v>
      </c>
      <c r="C126" s="10" t="str">
        <f>Tarifas!C7</f>
        <v>Dia a Dia</v>
      </c>
      <c r="D126" s="36">
        <f>Tarifas!E7</f>
        <v>782</v>
      </c>
      <c r="E126" s="37">
        <f>E105/$D$105</f>
        <v>1.0738827502296826</v>
      </c>
      <c r="F126" s="37">
        <f>F105/$D$105</f>
        <v>1.2886598962083777</v>
      </c>
      <c r="G126" s="37">
        <f>G105/$D$105</f>
        <v>1.0738827502296826</v>
      </c>
      <c r="H126" s="37">
        <f t="shared" ref="H126:H131" si="6">SUM(E126:G126)</f>
        <v>3.4364253966677429</v>
      </c>
      <c r="I126" s="11">
        <f>ROUND(H126*D126,2)</f>
        <v>2687.28</v>
      </c>
      <c r="J126" s="13">
        <f t="shared" ref="J126:J131" si="7">I126/$C$102</f>
        <v>2.6872800000000002E-2</v>
      </c>
      <c r="K126" s="9"/>
      <c r="L126" s="9"/>
      <c r="M126" s="9"/>
      <c r="N126" s="9"/>
    </row>
    <row r="127" spans="2:14" ht="38.1" customHeight="1">
      <c r="B127" s="15" t="str">
        <f>Tarifas!B8</f>
        <v>Telemundo</v>
      </c>
      <c r="C127" s="15" t="str">
        <f>Tarifas!C8</f>
        <v>PR Gana 6pm (M,W,T,f,Su)</v>
      </c>
      <c r="D127" s="38">
        <f>Tarifas!E8</f>
        <v>2541.5</v>
      </c>
      <c r="E127" s="39">
        <f>E105/$D$105</f>
        <v>1.0738827502296826</v>
      </c>
      <c r="F127" s="39">
        <f>F105/$D$105</f>
        <v>1.2886598962083777</v>
      </c>
      <c r="G127" s="39">
        <f>G105/$D$105</f>
        <v>1.0738827502296826</v>
      </c>
      <c r="H127" s="39">
        <f t="shared" si="6"/>
        <v>3.4364253966677429</v>
      </c>
      <c r="I127" s="16">
        <f>ROUND(H127*D127,2)</f>
        <v>8733.68</v>
      </c>
      <c r="J127" s="18">
        <f t="shared" si="7"/>
        <v>8.7336800000000006E-2</v>
      </c>
      <c r="K127" s="14"/>
      <c r="L127" s="14"/>
      <c r="M127" s="14"/>
      <c r="N127" s="14"/>
    </row>
    <row r="128" spans="2:14" ht="38.1" customHeight="1">
      <c r="B128" s="10" t="str">
        <f>Tarifas!B9</f>
        <v>WAPA</v>
      </c>
      <c r="C128" s="10" t="str">
        <f>Tarifas!C9</f>
        <v>Pegate al MedioDIa</v>
      </c>
      <c r="D128" s="36">
        <f>Tarifas!E9</f>
        <v>977.5</v>
      </c>
      <c r="E128" s="37">
        <f>E105/$D$105</f>
        <v>1.0738827502296826</v>
      </c>
      <c r="F128" s="37">
        <f>F105/$D$105</f>
        <v>1.2886598962083777</v>
      </c>
      <c r="G128" s="37">
        <f>G105/$D$105</f>
        <v>1.0738827502296826</v>
      </c>
      <c r="H128" s="37">
        <f t="shared" si="6"/>
        <v>3.4364253966677429</v>
      </c>
      <c r="I128" s="11">
        <f>ROUND(H128*D128,2)</f>
        <v>3359.11</v>
      </c>
      <c r="J128" s="13">
        <f t="shared" si="7"/>
        <v>3.3591099999999999E-2</v>
      </c>
      <c r="K128" s="9"/>
      <c r="L128" s="9"/>
      <c r="M128" s="9"/>
      <c r="N128" s="9"/>
    </row>
    <row r="129" spans="2:14" ht="38.1" customHeight="1">
      <c r="B129" s="15" t="str">
        <f>Tarifas!B10</f>
        <v>WAPA</v>
      </c>
      <c r="C129" s="15" t="str">
        <f>Tarifas!C10</f>
        <v>Reality-Funcion Estelar 7p</v>
      </c>
      <c r="D129" s="38">
        <f>Tarifas!E10</f>
        <v>3519</v>
      </c>
      <c r="E129" s="39">
        <f>E105/$D$105</f>
        <v>1.0738827502296826</v>
      </c>
      <c r="F129" s="39">
        <f>F105/$D$105</f>
        <v>1.2886598962083777</v>
      </c>
      <c r="G129" s="39">
        <f>G105/$D$105</f>
        <v>1.0738827502296826</v>
      </c>
      <c r="H129" s="39">
        <f t="shared" si="6"/>
        <v>3.4364253966677429</v>
      </c>
      <c r="I129" s="16">
        <f>ROUND(H129*D129,2)</f>
        <v>12092.78</v>
      </c>
      <c r="J129" s="18">
        <f t="shared" si="7"/>
        <v>0.1209278</v>
      </c>
      <c r="K129" s="14"/>
      <c r="L129" s="14"/>
      <c r="M129" s="14"/>
      <c r="N129" s="14"/>
    </row>
    <row r="130" spans="2:14" ht="38.1" customHeight="1">
      <c r="B130" s="10" t="str">
        <f>Tarifas!B11</f>
        <v>TeleOnce</v>
      </c>
      <c r="C130" s="10" t="str">
        <f>Tarifas!C11</f>
        <v>PR en Vivo</v>
      </c>
      <c r="D130" s="36">
        <f>Tarifas!E11</f>
        <v>586.5</v>
      </c>
      <c r="E130" s="37">
        <f>E105/$D$105</f>
        <v>1.0738827502296826</v>
      </c>
      <c r="F130" s="37">
        <f>F105/$D$105</f>
        <v>1.2886598962083777</v>
      </c>
      <c r="G130" s="37">
        <f>G105/$D$105</f>
        <v>1.0738827502296826</v>
      </c>
      <c r="H130" s="37">
        <f t="shared" si="6"/>
        <v>3.4364253966677429</v>
      </c>
      <c r="I130" s="11">
        <f>ROUND(H130*D130,2)</f>
        <v>2015.46</v>
      </c>
      <c r="J130" s="13">
        <f t="shared" si="7"/>
        <v>2.0154600000000002E-2</v>
      </c>
      <c r="K130" s="9"/>
      <c r="L130" s="9"/>
      <c r="M130" s="9"/>
      <c r="N130" s="9"/>
    </row>
    <row r="131" spans="2:14" ht="38.1" customHeight="1">
      <c r="B131" s="15" t="str">
        <f>Tarifas!B12</f>
        <v>TeleOnce</v>
      </c>
      <c r="C131" s="15" t="str">
        <f>Tarifas!C12</f>
        <v>Las Noticias Prime</v>
      </c>
      <c r="D131" s="38">
        <f>Tarifas!E12</f>
        <v>1661.75</v>
      </c>
      <c r="E131" s="39">
        <f>E105/$D$105</f>
        <v>1.0738827502296826</v>
      </c>
      <c r="F131" s="39">
        <f>F105/$D$105</f>
        <v>1.2886598962083777</v>
      </c>
      <c r="G131" s="39">
        <f>G105/$D$105</f>
        <v>1.0738827502296826</v>
      </c>
      <c r="H131" s="39">
        <f t="shared" si="6"/>
        <v>3.4364253966677429</v>
      </c>
      <c r="I131" s="16">
        <f>ROUND(I105-SUM(I126:I130),2)</f>
        <v>5710.48</v>
      </c>
      <c r="J131" s="18">
        <f t="shared" si="7"/>
        <v>5.7104799999999997E-2</v>
      </c>
      <c r="K131" s="14"/>
      <c r="L131" s="14"/>
      <c r="M131" s="14"/>
      <c r="N131" s="14"/>
    </row>
    <row r="132" spans="2:14" ht="30" customHeight="1">
      <c r="B132" s="19" t="s">
        <v>98</v>
      </c>
      <c r="C132" s="19"/>
      <c r="D132" s="19"/>
      <c r="E132" s="19"/>
      <c r="F132" s="19"/>
      <c r="G132" s="19"/>
      <c r="H132" s="19"/>
      <c r="I132" s="20">
        <f>SUM(I126:I131)</f>
        <v>34598.79</v>
      </c>
      <c r="J132" s="19"/>
      <c r="K132" s="19"/>
      <c r="L132" s="19"/>
      <c r="M132" s="19"/>
      <c r="N132" s="19"/>
    </row>
    <row r="133" spans="2:14" ht="24.95" customHeight="1">
      <c r="B133" s="47" t="s">
        <v>41</v>
      </c>
      <c r="C133" s="47"/>
      <c r="D133" s="47"/>
      <c r="E133" s="47"/>
      <c r="F133" s="47"/>
      <c r="G133" s="47"/>
      <c r="H133" s="47"/>
      <c r="I133" s="47"/>
      <c r="J133" s="47"/>
      <c r="K133" s="47"/>
      <c r="L133" s="47"/>
      <c r="M133" s="47"/>
      <c r="N133" s="47"/>
    </row>
    <row r="134" spans="2:14" ht="38.1" customHeight="1">
      <c r="B134" s="10" t="str">
        <f>Tarifas!B13</f>
        <v>Unica Radio-1230am</v>
      </c>
      <c r="C134" s="10" t="str">
        <f>Tarifas!C13</f>
        <v>ROS 7 a. m.–5 p. m.</v>
      </c>
      <c r="D134" s="36">
        <f>Tarifas!E13</f>
        <v>36.799999999999997</v>
      </c>
      <c r="E134" s="37">
        <f>E106/$D$106</f>
        <v>8.5910607974021289</v>
      </c>
      <c r="F134" s="37">
        <f>F106/$D$106</f>
        <v>10.738829755246858</v>
      </c>
      <c r="G134" s="37">
        <f>G106/$D$106</f>
        <v>8.5910607974021289</v>
      </c>
      <c r="H134" s="37">
        <f t="shared" ref="H134:H151" si="8">SUM(E134:G134)</f>
        <v>27.920951350051116</v>
      </c>
      <c r="I134" s="11">
        <f t="shared" ref="I134:I150" si="9">ROUND(H134*D134,2)</f>
        <v>1027.49</v>
      </c>
      <c r="J134" s="13">
        <f t="shared" ref="J134:J151" si="10">I134/$C$102</f>
        <v>1.02749E-2</v>
      </c>
      <c r="K134" s="9"/>
      <c r="L134" s="9"/>
      <c r="M134" s="9"/>
      <c r="N134" s="9"/>
    </row>
    <row r="135" spans="2:14" ht="38.1" customHeight="1">
      <c r="B135" s="15" t="str">
        <f>Tarifas!B14</f>
        <v>Radio Once-1120AM</v>
      </c>
      <c r="C135" s="15" t="str">
        <f>Tarifas!C14</f>
        <v>ROS 7 a. m.–5 p. m.</v>
      </c>
      <c r="D135" s="38">
        <f>Tarifas!E14</f>
        <v>36.799999999999997</v>
      </c>
      <c r="E135" s="39">
        <f>E106/$D$106</f>
        <v>8.5910607974021289</v>
      </c>
      <c r="F135" s="39">
        <f>F106/$D$106</f>
        <v>10.738829755246858</v>
      </c>
      <c r="G135" s="39">
        <f>G106/$D$106</f>
        <v>8.5910607974021289</v>
      </c>
      <c r="H135" s="39">
        <f t="shared" si="8"/>
        <v>27.920951350051116</v>
      </c>
      <c r="I135" s="16">
        <f t="shared" si="9"/>
        <v>1027.49</v>
      </c>
      <c r="J135" s="18">
        <f t="shared" si="10"/>
        <v>1.02749E-2</v>
      </c>
      <c r="K135" s="14"/>
      <c r="L135" s="14"/>
      <c r="M135" s="14"/>
      <c r="N135" s="14"/>
    </row>
    <row r="136" spans="2:14" ht="38.1" customHeight="1">
      <c r="B136" s="10" t="str">
        <f>Tarifas!B15</f>
        <v>WAPA Radio-Borinquen</v>
      </c>
      <c r="C136" s="10" t="str">
        <f>Tarifas!C15</f>
        <v>ROS 7 a. m.–5 p. m.</v>
      </c>
      <c r="D136" s="36">
        <f>Tarifas!E15</f>
        <v>55.2</v>
      </c>
      <c r="E136" s="37">
        <f>E106/$D$106</f>
        <v>8.5910607974021289</v>
      </c>
      <c r="F136" s="37">
        <f>F106/$D$106</f>
        <v>10.738829755246858</v>
      </c>
      <c r="G136" s="37">
        <f>G106/$D$106</f>
        <v>8.5910607974021289</v>
      </c>
      <c r="H136" s="37">
        <f t="shared" si="8"/>
        <v>27.920951350051116</v>
      </c>
      <c r="I136" s="11">
        <f t="shared" si="9"/>
        <v>1541.24</v>
      </c>
      <c r="J136" s="13">
        <f t="shared" si="10"/>
        <v>1.54124E-2</v>
      </c>
      <c r="K136" s="9"/>
      <c r="L136" s="9"/>
      <c r="M136" s="9"/>
      <c r="N136" s="9"/>
    </row>
    <row r="137" spans="2:14" ht="38.1" customHeight="1">
      <c r="B137" s="15" t="str">
        <f>Tarifas!B16</f>
        <v>WAEL-FM</v>
      </c>
      <c r="C137" s="15" t="str">
        <f>Tarifas!C16</f>
        <v>ROS 7 a. m.–5 p. m.</v>
      </c>
      <c r="D137" s="38">
        <f>Tarifas!E16</f>
        <v>36.799999999999997</v>
      </c>
      <c r="E137" s="39">
        <f>E106/$D$106</f>
        <v>8.5910607974021289</v>
      </c>
      <c r="F137" s="39">
        <f>F106/$D$106</f>
        <v>10.738829755246858</v>
      </c>
      <c r="G137" s="39">
        <f>G106/$D$106</f>
        <v>8.5910607974021289</v>
      </c>
      <c r="H137" s="39">
        <f t="shared" si="8"/>
        <v>27.920951350051116</v>
      </c>
      <c r="I137" s="16">
        <f t="shared" si="9"/>
        <v>1027.49</v>
      </c>
      <c r="J137" s="18">
        <f t="shared" si="10"/>
        <v>1.02749E-2</v>
      </c>
      <c r="K137" s="14"/>
      <c r="L137" s="14"/>
      <c r="M137" s="14"/>
      <c r="N137" s="14"/>
    </row>
    <row r="138" spans="2:14" ht="38.1" customHeight="1">
      <c r="B138" s="10" t="str">
        <f>Tarifas!B17</f>
        <v>WABA-AM (Aguadilla)</v>
      </c>
      <c r="C138" s="10" t="str">
        <f>Tarifas!C17</f>
        <v>ROS 7 a. m.–5 p. m.</v>
      </c>
      <c r="D138" s="36">
        <f>Tarifas!E17</f>
        <v>28.52</v>
      </c>
      <c r="E138" s="37">
        <f>E106/$D$106</f>
        <v>8.5910607974021289</v>
      </c>
      <c r="F138" s="37">
        <f>F106/$D$106</f>
        <v>10.738829755246858</v>
      </c>
      <c r="G138" s="37">
        <f>G106/$D$106</f>
        <v>8.5910607974021289</v>
      </c>
      <c r="H138" s="37">
        <f t="shared" si="8"/>
        <v>27.920951350051116</v>
      </c>
      <c r="I138" s="11">
        <f t="shared" si="9"/>
        <v>796.31</v>
      </c>
      <c r="J138" s="13">
        <f t="shared" si="10"/>
        <v>7.963099999999999E-3</v>
      </c>
      <c r="K138" s="9"/>
      <c r="L138" s="9"/>
      <c r="M138" s="9"/>
      <c r="N138" s="9"/>
    </row>
    <row r="139" spans="2:14" ht="38.1" customHeight="1">
      <c r="B139" s="15" t="str">
        <f>Tarifas!B18</f>
        <v>WHOY-AM (Salinas)</v>
      </c>
      <c r="C139" s="15" t="str">
        <f>Tarifas!C18</f>
        <v>ROS 7 a. m.–5 p. m.</v>
      </c>
      <c r="D139" s="38">
        <f>Tarifas!E18</f>
        <v>28.52</v>
      </c>
      <c r="E139" s="39">
        <f>E106/$D$106</f>
        <v>8.5910607974021289</v>
      </c>
      <c r="F139" s="39">
        <f>F106/$D$106</f>
        <v>10.738829755246858</v>
      </c>
      <c r="G139" s="39">
        <f>G106/$D$106</f>
        <v>8.5910607974021289</v>
      </c>
      <c r="H139" s="39">
        <f t="shared" si="8"/>
        <v>27.920951350051116</v>
      </c>
      <c r="I139" s="16">
        <f t="shared" si="9"/>
        <v>796.31</v>
      </c>
      <c r="J139" s="18">
        <f t="shared" si="10"/>
        <v>7.963099999999999E-3</v>
      </c>
      <c r="K139" s="14"/>
      <c r="L139" s="14"/>
      <c r="M139" s="14"/>
      <c r="N139" s="14"/>
    </row>
    <row r="140" spans="2:14" ht="38.1" customHeight="1">
      <c r="B140" s="10" t="str">
        <f>Tarifas!B19</f>
        <v>WGDL-AM/FM (Lares/Aguadilla)</v>
      </c>
      <c r="C140" s="10" t="str">
        <f>Tarifas!C19</f>
        <v>ROS 7 a. m.–5 p. m.</v>
      </c>
      <c r="D140" s="36">
        <f>Tarifas!E19</f>
        <v>45.08</v>
      </c>
      <c r="E140" s="37">
        <f>E106/$D$106</f>
        <v>8.5910607974021289</v>
      </c>
      <c r="F140" s="37">
        <f>F106/$D$106</f>
        <v>10.738829755246858</v>
      </c>
      <c r="G140" s="37">
        <f>G106/$D$106</f>
        <v>8.5910607974021289</v>
      </c>
      <c r="H140" s="37">
        <f t="shared" si="8"/>
        <v>27.920951350051116</v>
      </c>
      <c r="I140" s="11">
        <f t="shared" si="9"/>
        <v>1258.68</v>
      </c>
      <c r="J140" s="13">
        <f t="shared" si="10"/>
        <v>1.25868E-2</v>
      </c>
      <c r="K140" s="9"/>
      <c r="L140" s="9"/>
      <c r="M140" s="9"/>
      <c r="N140" s="9"/>
    </row>
    <row r="141" spans="2:14" ht="38.1" customHeight="1">
      <c r="B141" s="15" t="str">
        <f>Tarifas!B20</f>
        <v>WPRA-AM (Mayaguez)</v>
      </c>
      <c r="C141" s="15" t="str">
        <f>Tarifas!C20</f>
        <v>ROS 7 a. m.–5 p. m.</v>
      </c>
      <c r="D141" s="38">
        <f>Tarifas!E20</f>
        <v>28.52</v>
      </c>
      <c r="E141" s="39">
        <f>E106/$D$106</f>
        <v>8.5910607974021289</v>
      </c>
      <c r="F141" s="39">
        <f>F106/$D$106</f>
        <v>10.738829755246858</v>
      </c>
      <c r="G141" s="39">
        <f>G106/$D$106</f>
        <v>8.5910607974021289</v>
      </c>
      <c r="H141" s="39">
        <f t="shared" si="8"/>
        <v>27.920951350051116</v>
      </c>
      <c r="I141" s="16">
        <f t="shared" si="9"/>
        <v>796.31</v>
      </c>
      <c r="J141" s="18">
        <f t="shared" si="10"/>
        <v>7.963099999999999E-3</v>
      </c>
      <c r="K141" s="14"/>
      <c r="L141" s="14"/>
      <c r="M141" s="14"/>
      <c r="N141" s="14"/>
    </row>
    <row r="142" spans="2:14" ht="38.1" customHeight="1">
      <c r="B142" s="10" t="str">
        <f>Tarifas!B21</f>
        <v>WISA-AM (Isabela)</v>
      </c>
      <c r="C142" s="10" t="str">
        <f>Tarifas!C21</f>
        <v>ROS 7 a. m.–5 p. m.</v>
      </c>
      <c r="D142" s="36">
        <f>Tarifas!E21</f>
        <v>28.52</v>
      </c>
      <c r="E142" s="37">
        <f>E106/$D$106</f>
        <v>8.5910607974021289</v>
      </c>
      <c r="F142" s="37">
        <f>F106/$D$106</f>
        <v>10.738829755246858</v>
      </c>
      <c r="G142" s="37">
        <f>G106/$D$106</f>
        <v>8.5910607974021289</v>
      </c>
      <c r="H142" s="37">
        <f t="shared" si="8"/>
        <v>27.920951350051116</v>
      </c>
      <c r="I142" s="11">
        <f t="shared" si="9"/>
        <v>796.31</v>
      </c>
      <c r="J142" s="13">
        <f t="shared" si="10"/>
        <v>7.963099999999999E-3</v>
      </c>
      <c r="K142" s="9"/>
      <c r="L142" s="9"/>
      <c r="M142" s="9"/>
      <c r="N142" s="9"/>
    </row>
    <row r="143" spans="2:14" ht="38.1" customHeight="1">
      <c r="B143" s="15" t="str">
        <f>Tarifas!B22</f>
        <v xml:space="preserve">Auspicios: $1,075,000 pendientes de con con el RFP. No están sumados al escenario de $3,763,000. </v>
      </c>
      <c r="C143" s="15" t="str">
        <f>Tarifas!C22</f>
        <v>ROS 7 a. m.–5 p. m.</v>
      </c>
      <c r="D143" s="38">
        <f>Tarifas!E22</f>
        <v>28.52</v>
      </c>
      <c r="E143" s="39">
        <f>E106/$D$106</f>
        <v>8.5910607974021289</v>
      </c>
      <c r="F143" s="39">
        <f>F106/$D$106</f>
        <v>10.738829755246858</v>
      </c>
      <c r="G143" s="39">
        <f>G106/$D$106</f>
        <v>8.5910607974021289</v>
      </c>
      <c r="H143" s="39">
        <f t="shared" si="8"/>
        <v>27.920951350051116</v>
      </c>
      <c r="I143" s="16">
        <f t="shared" si="9"/>
        <v>796.31</v>
      </c>
      <c r="J143" s="18">
        <f t="shared" si="10"/>
        <v>7.963099999999999E-3</v>
      </c>
      <c r="K143" s="14"/>
      <c r="L143" s="14"/>
      <c r="M143" s="14"/>
      <c r="N143" s="14"/>
    </row>
    <row r="144" spans="2:14" ht="38.1" customHeight="1">
      <c r="B144" s="10" t="str">
        <f>Tarifas!B23</f>
        <v>WCPR-AM (Coamo)</v>
      </c>
      <c r="C144" s="10" t="str">
        <f>Tarifas!C23</f>
        <v>ROS 7 a. m.–5 p. m.</v>
      </c>
      <c r="D144" s="36">
        <f>Tarifas!E23</f>
        <v>28.52</v>
      </c>
      <c r="E144" s="37">
        <f>E106/$D$106</f>
        <v>8.5910607974021289</v>
      </c>
      <c r="F144" s="37">
        <f>F106/$D$106</f>
        <v>10.738829755246858</v>
      </c>
      <c r="G144" s="37">
        <f>G106/$D$106</f>
        <v>8.5910607974021289</v>
      </c>
      <c r="H144" s="37">
        <f t="shared" si="8"/>
        <v>27.920951350051116</v>
      </c>
      <c r="I144" s="11">
        <f t="shared" si="9"/>
        <v>796.31</v>
      </c>
      <c r="J144" s="13">
        <f t="shared" si="10"/>
        <v>7.963099999999999E-3</v>
      </c>
      <c r="K144" s="9"/>
      <c r="L144" s="9"/>
      <c r="M144" s="9"/>
      <c r="N144" s="9"/>
    </row>
    <row r="145" spans="2:14" ht="38.1" customHeight="1">
      <c r="B145" s="15" t="str">
        <f>Tarifas!B24</f>
        <v>WLPR-AM (SanSebastian)</v>
      </c>
      <c r="C145" s="15" t="str">
        <f>Tarifas!C24</f>
        <v>ROS 7 a. m.–5 p. m.</v>
      </c>
      <c r="D145" s="38">
        <f>Tarifas!E24</f>
        <v>28.52</v>
      </c>
      <c r="E145" s="39">
        <f>E106/$D$106</f>
        <v>8.5910607974021289</v>
      </c>
      <c r="F145" s="39">
        <f>F106/$D$106</f>
        <v>10.738829755246858</v>
      </c>
      <c r="G145" s="39">
        <f>G106/$D$106</f>
        <v>8.5910607974021289</v>
      </c>
      <c r="H145" s="39">
        <f t="shared" si="8"/>
        <v>27.920951350051116</v>
      </c>
      <c r="I145" s="16">
        <f t="shared" si="9"/>
        <v>796.31</v>
      </c>
      <c r="J145" s="18">
        <f t="shared" si="10"/>
        <v>7.963099999999999E-3</v>
      </c>
      <c r="K145" s="14"/>
      <c r="L145" s="14"/>
      <c r="M145" s="14"/>
      <c r="N145" s="14"/>
    </row>
    <row r="146" spans="2:14" ht="38.1" customHeight="1">
      <c r="B146" s="10" t="str">
        <f>Tarifas!B25</f>
        <v xml:space="preserve">Entregas estimadas con tarifas de referencia. </v>
      </c>
      <c r="C146" s="10" t="str">
        <f>Tarifas!C25</f>
        <v>ROS 7 a. m.–5 p. m.</v>
      </c>
      <c r="D146" s="36">
        <f>Tarifas!E25</f>
        <v>28.52</v>
      </c>
      <c r="E146" s="37">
        <f>E106/$D$106</f>
        <v>8.5910607974021289</v>
      </c>
      <c r="F146" s="37">
        <f>F106/$D$106</f>
        <v>10.738829755246858</v>
      </c>
      <c r="G146" s="37">
        <f>G106/$D$106</f>
        <v>8.5910607974021289</v>
      </c>
      <c r="H146" s="37">
        <f t="shared" si="8"/>
        <v>27.920951350051116</v>
      </c>
      <c r="I146" s="11">
        <f t="shared" si="9"/>
        <v>796.31</v>
      </c>
      <c r="J146" s="13">
        <f t="shared" si="10"/>
        <v>7.963099999999999E-3</v>
      </c>
      <c r="K146" s="9"/>
      <c r="L146" s="9"/>
      <c r="M146" s="9"/>
      <c r="N146" s="9"/>
    </row>
    <row r="147" spans="2:14" ht="38.1" customHeight="1">
      <c r="B147" s="15" t="str">
        <f>Tarifas!B26</f>
        <v>WENA-AM (Yauco)</v>
      </c>
      <c r="C147" s="15" t="str">
        <f>Tarifas!C26</f>
        <v>ROS 7 a. m.–5 p. m.</v>
      </c>
      <c r="D147" s="38">
        <f>Tarifas!E26</f>
        <v>28.52</v>
      </c>
      <c r="E147" s="39">
        <f>E106/$D$106</f>
        <v>8.5910607974021289</v>
      </c>
      <c r="F147" s="39">
        <f>F106/$D$106</f>
        <v>10.738829755246858</v>
      </c>
      <c r="G147" s="39">
        <f>G106/$D$106</f>
        <v>8.5910607974021289</v>
      </c>
      <c r="H147" s="39">
        <f t="shared" si="8"/>
        <v>27.920951350051116</v>
      </c>
      <c r="I147" s="16">
        <f t="shared" si="9"/>
        <v>796.31</v>
      </c>
      <c r="J147" s="18">
        <f t="shared" si="10"/>
        <v>7.963099999999999E-3</v>
      </c>
      <c r="K147" s="14"/>
      <c r="L147" s="14"/>
      <c r="M147" s="14"/>
      <c r="N147" s="14"/>
    </row>
    <row r="148" spans="2:14" ht="38.1" customHeight="1">
      <c r="B148" s="10" t="str">
        <f>Tarifas!B27</f>
        <v>SuperK 106Fm (Arecibo)</v>
      </c>
      <c r="C148" s="10" t="str">
        <f>Tarifas!C27</f>
        <v>ROS 7 a. m.–5 p. m.</v>
      </c>
      <c r="D148" s="36">
        <f>Tarifas!E27</f>
        <v>69</v>
      </c>
      <c r="E148" s="37">
        <f>E106/$D$106</f>
        <v>8.5910607974021289</v>
      </c>
      <c r="F148" s="37">
        <f>F106/$D$106</f>
        <v>10.738829755246858</v>
      </c>
      <c r="G148" s="37">
        <f>G106/$D$106</f>
        <v>8.5910607974021289</v>
      </c>
      <c r="H148" s="37">
        <f t="shared" si="8"/>
        <v>27.920951350051116</v>
      </c>
      <c r="I148" s="11">
        <f t="shared" si="9"/>
        <v>1926.55</v>
      </c>
      <c r="J148" s="13">
        <f t="shared" si="10"/>
        <v>1.9265499999999998E-2</v>
      </c>
      <c r="K148" s="9"/>
      <c r="L148" s="9"/>
      <c r="M148" s="9"/>
      <c r="N148" s="9"/>
    </row>
    <row r="149" spans="2:14" ht="38.1" customHeight="1">
      <c r="B149" s="15" t="str">
        <f>Tarifas!B28</f>
        <v>Radio Grito (Lares)-Hora del Grito 12md</v>
      </c>
      <c r="C149" s="15" t="s">
        <v>99</v>
      </c>
      <c r="D149" s="38">
        <f>Tarifas!E28</f>
        <v>27.6</v>
      </c>
      <c r="E149" s="39">
        <f>E106/$D$106</f>
        <v>8.5910607974021289</v>
      </c>
      <c r="F149" s="39">
        <f>F106/$D$106</f>
        <v>10.738829755246858</v>
      </c>
      <c r="G149" s="39">
        <f>G106/$D$106</f>
        <v>8.5910607974021289</v>
      </c>
      <c r="H149" s="39">
        <f t="shared" si="8"/>
        <v>27.920951350051116</v>
      </c>
      <c r="I149" s="16">
        <f t="shared" si="9"/>
        <v>770.62</v>
      </c>
      <c r="J149" s="18">
        <f t="shared" si="10"/>
        <v>7.7061999999999999E-3</v>
      </c>
      <c r="K149" s="14"/>
      <c r="L149" s="14"/>
      <c r="M149" s="14"/>
      <c r="N149" s="14"/>
    </row>
    <row r="150" spans="2:14" ht="38.1" customHeight="1">
      <c r="B150" s="10" t="str">
        <f>Tarifas!B29</f>
        <v>NotiUno (NORTE)-La Hornilla &amp; John Alma-Spots</v>
      </c>
      <c r="C150" s="10" t="s">
        <v>100</v>
      </c>
      <c r="D150" s="36">
        <f>Tarifas!E29</f>
        <v>50.6</v>
      </c>
      <c r="E150" s="37">
        <f>E106/$D$106</f>
        <v>8.5910607974021289</v>
      </c>
      <c r="F150" s="37">
        <f>F106/$D$106</f>
        <v>10.738829755246858</v>
      </c>
      <c r="G150" s="37">
        <f>G106/$D$106</f>
        <v>8.5910607974021289</v>
      </c>
      <c r="H150" s="37">
        <f t="shared" si="8"/>
        <v>27.920951350051116</v>
      </c>
      <c r="I150" s="11">
        <f t="shared" si="9"/>
        <v>1412.8</v>
      </c>
      <c r="J150" s="13">
        <f t="shared" si="10"/>
        <v>1.4128E-2</v>
      </c>
      <c r="K150" s="9"/>
      <c r="L150" s="9"/>
      <c r="M150" s="9"/>
      <c r="N150" s="9"/>
    </row>
    <row r="151" spans="2:14" ht="38.1" customHeight="1">
      <c r="B151" s="15" t="str">
        <f>Tarifas!B30</f>
        <v>NotiUno (SUR-Ponce) ROS</v>
      </c>
      <c r="C151" s="15" t="str">
        <f>Tarifas!C30</f>
        <v>ROS 7 a. m.–5 p. m.</v>
      </c>
      <c r="D151" s="38">
        <f>Tarifas!E30</f>
        <v>50.6</v>
      </c>
      <c r="E151" s="39">
        <f>E106/$D$106</f>
        <v>8.5910607974021289</v>
      </c>
      <c r="F151" s="39">
        <f>F106/$D$106</f>
        <v>10.738829755246858</v>
      </c>
      <c r="G151" s="39">
        <f>G106/$D$106</f>
        <v>8.5910607974021289</v>
      </c>
      <c r="H151" s="39">
        <f t="shared" si="8"/>
        <v>27.920951350051116</v>
      </c>
      <c r="I151" s="16">
        <f>ROUND(I106-SUM(I134:I150),2)</f>
        <v>1412.75</v>
      </c>
      <c r="J151" s="18">
        <f t="shared" si="10"/>
        <v>1.4127499999999999E-2</v>
      </c>
      <c r="K151" s="14"/>
      <c r="L151" s="14"/>
      <c r="M151" s="14"/>
      <c r="N151" s="14"/>
    </row>
    <row r="152" spans="2:14" ht="30" customHeight="1">
      <c r="B152" s="19" t="s">
        <v>101</v>
      </c>
      <c r="C152" s="19"/>
      <c r="D152" s="19"/>
      <c r="E152" s="19"/>
      <c r="F152" s="19"/>
      <c r="G152" s="19"/>
      <c r="H152" s="19"/>
      <c r="I152" s="20">
        <f>SUM(I134:I151)</f>
        <v>18571.899999999998</v>
      </c>
      <c r="J152" s="19"/>
      <c r="K152" s="19"/>
      <c r="L152" s="19"/>
      <c r="M152" s="19"/>
      <c r="N152" s="19"/>
    </row>
    <row r="153" spans="2:14" ht="24.95" customHeight="1">
      <c r="B153" s="47" t="s">
        <v>42</v>
      </c>
      <c r="C153" s="47"/>
      <c r="D153" s="47"/>
      <c r="E153" s="47"/>
      <c r="F153" s="47"/>
      <c r="G153" s="47"/>
      <c r="H153" s="47"/>
      <c r="I153" s="47"/>
      <c r="J153" s="47"/>
      <c r="K153" s="47"/>
      <c r="L153" s="47"/>
      <c r="M153" s="47"/>
      <c r="N153" s="47"/>
    </row>
    <row r="154" spans="2:14" ht="38.1" customHeight="1">
      <c r="B154" s="10" t="str">
        <f>Tarifas!B31</f>
        <v>Planet</v>
      </c>
      <c r="C154" s="10" t="str">
        <f>Tarifas!C31</f>
        <v>10 puntos × 5 días</v>
      </c>
      <c r="D154" s="36">
        <f>Tarifas!E31</f>
        <v>5980</v>
      </c>
      <c r="E154" s="37">
        <f>E107/$D$107</f>
        <v>0.42955305564001217</v>
      </c>
      <c r="F154" s="37">
        <f>F107/$D$107</f>
        <v>0.42955305564001217</v>
      </c>
      <c r="G154" s="37">
        <f>G107/$D$107</f>
        <v>0.21477652782000609</v>
      </c>
      <c r="H154" s="37">
        <f>SUM(E154:G154)</f>
        <v>1.0738826391000305</v>
      </c>
      <c r="I154" s="11">
        <f>ROUND(H154*D154,2)</f>
        <v>6421.82</v>
      </c>
      <c r="J154" s="13">
        <f>I154/$C$102</f>
        <v>6.4218200000000003E-2</v>
      </c>
      <c r="K154" s="9"/>
      <c r="L154" s="9"/>
      <c r="M154" s="9"/>
      <c r="N154" s="9"/>
    </row>
    <row r="155" spans="2:14" ht="38.1" customHeight="1">
      <c r="B155" s="15" t="str">
        <f>Tarifas!B32</f>
        <v>BMedia</v>
      </c>
      <c r="C155" s="15" t="str">
        <f>Tarifas!C32</f>
        <v>7 puntos × 5 días</v>
      </c>
      <c r="D155" s="38">
        <f>Tarifas!E32</f>
        <v>4025</v>
      </c>
      <c r="E155" s="39">
        <f>E107/$D$107</f>
        <v>0.42955305564001217</v>
      </c>
      <c r="F155" s="39">
        <f>F107/$D$107</f>
        <v>0.42955305564001217</v>
      </c>
      <c r="G155" s="39">
        <f>G107/$D$107</f>
        <v>0.21477652782000609</v>
      </c>
      <c r="H155" s="39">
        <f>SUM(E155:G155)</f>
        <v>1.0738826391000305</v>
      </c>
      <c r="I155" s="16">
        <f>ROUND(H155*D155,2)</f>
        <v>4322.38</v>
      </c>
      <c r="J155" s="18">
        <f>I155/$C$102</f>
        <v>4.32238E-2</v>
      </c>
      <c r="K155" s="14"/>
      <c r="L155" s="14"/>
      <c r="M155" s="14"/>
      <c r="N155" s="14"/>
    </row>
    <row r="156" spans="2:14" ht="38.1" customHeight="1">
      <c r="B156" s="10" t="s">
        <v>166</v>
      </c>
      <c r="C156" s="10" t="str">
        <f>Tarifas!C33</f>
        <v>5 puntos × 5 días</v>
      </c>
      <c r="D156" s="36">
        <f>Tarifas!E33</f>
        <v>2300</v>
      </c>
      <c r="E156" s="37">
        <f>E107/$D$107</f>
        <v>0.42955305564001217</v>
      </c>
      <c r="F156" s="37">
        <f>F107/$D$107</f>
        <v>0.42955305564001217</v>
      </c>
      <c r="G156" s="37">
        <f>G107/$D$107</f>
        <v>0.21477652782000609</v>
      </c>
      <c r="H156" s="37">
        <f>SUM(E156:G156)</f>
        <v>1.0738826391000305</v>
      </c>
      <c r="I156" s="11">
        <f>ROUND(H156*D156,2)</f>
        <v>2469.9299999999998</v>
      </c>
      <c r="J156" s="13">
        <f>I156/$C$102</f>
        <v>2.4699299999999997E-2</v>
      </c>
      <c r="K156" s="9"/>
      <c r="L156" s="9"/>
      <c r="M156" s="9"/>
      <c r="N156" s="9"/>
    </row>
    <row r="157" spans="2:14" ht="38.1" customHeight="1">
      <c r="B157" s="15" t="str">
        <f>Tarifas!B34</f>
        <v>Yes</v>
      </c>
      <c r="C157" s="15" t="str">
        <f>Tarifas!C34</f>
        <v>6 puntos × 5 días</v>
      </c>
      <c r="D157" s="38">
        <f>Tarifas!E34</f>
        <v>4140</v>
      </c>
      <c r="E157" s="39">
        <f>E107/$D$107</f>
        <v>0.42955305564001217</v>
      </c>
      <c r="F157" s="39">
        <f>F107/$D$107</f>
        <v>0.42955305564001217</v>
      </c>
      <c r="G157" s="39">
        <f>G107/$D$107</f>
        <v>0.21477652782000609</v>
      </c>
      <c r="H157" s="39">
        <f>SUM(E157:G157)</f>
        <v>1.0738826391000305</v>
      </c>
      <c r="I157" s="16">
        <f>ROUND(I107-SUM(I154:I156),2)</f>
        <v>4445.87</v>
      </c>
      <c r="J157" s="18">
        <f>I157/$C$102</f>
        <v>4.4458699999999997E-2</v>
      </c>
      <c r="K157" s="14"/>
      <c r="L157" s="14"/>
      <c r="M157" s="14"/>
      <c r="N157" s="14"/>
    </row>
    <row r="158" spans="2:14" ht="30" customHeight="1">
      <c r="B158" s="19" t="s">
        <v>123</v>
      </c>
      <c r="C158" s="19"/>
      <c r="D158" s="19"/>
      <c r="E158" s="19"/>
      <c r="F158" s="19"/>
      <c r="G158" s="19"/>
      <c r="H158" s="19"/>
      <c r="I158" s="20">
        <f>SUM(I154:I157)</f>
        <v>17660</v>
      </c>
      <c r="J158" s="19"/>
      <c r="K158" s="19"/>
      <c r="L158" s="19"/>
      <c r="M158" s="19"/>
      <c r="N158" s="19"/>
    </row>
    <row r="159" spans="2:14" ht="27.95" customHeight="1">
      <c r="B159" s="45" t="s">
        <v>124</v>
      </c>
      <c r="C159" s="45"/>
      <c r="D159" s="45"/>
      <c r="E159" s="45"/>
      <c r="F159" s="45"/>
      <c r="G159" s="45"/>
      <c r="H159" s="45"/>
      <c r="I159" s="45"/>
      <c r="J159" s="45"/>
      <c r="K159" s="45"/>
      <c r="L159" s="45"/>
      <c r="M159" s="45"/>
      <c r="N159" s="45"/>
    </row>
    <row r="160" spans="2:14" ht="24.95" customHeight="1">
      <c r="B160" s="47" t="s">
        <v>43</v>
      </c>
      <c r="C160" s="47"/>
      <c r="D160" s="47"/>
      <c r="E160" s="47"/>
      <c r="F160" s="47"/>
      <c r="G160" s="47"/>
      <c r="H160" s="47"/>
      <c r="I160" s="47"/>
      <c r="J160" s="47"/>
      <c r="K160" s="47"/>
      <c r="L160" s="47"/>
      <c r="M160" s="47"/>
      <c r="N160" s="47"/>
    </row>
    <row r="161" spans="2:14" ht="38.1" customHeight="1">
      <c r="B161" s="10" t="str">
        <f>Tarifas!B35</f>
        <v>Meta</v>
      </c>
      <c r="C161" s="10" t="str">
        <f>Tarifas!C35</f>
        <v>Video / Reels / Stories</v>
      </c>
      <c r="D161" s="36">
        <f>Tarifas!E35</f>
        <v>8.625</v>
      </c>
      <c r="E161" s="40">
        <f>ROUNDDOWN(E108/$D161*1000,0)</f>
        <v>569210</v>
      </c>
      <c r="F161" s="40">
        <f>ROUNDDOWN(F108/$D161*1000,0)</f>
        <v>1254308</v>
      </c>
      <c r="G161" s="40">
        <f>ROUNDDOWN(G108/$D161*1000,0)</f>
        <v>978717</v>
      </c>
      <c r="H161" s="40">
        <f>SUM(E161:G161)</f>
        <v>2802235</v>
      </c>
      <c r="I161" s="11">
        <f>I108</f>
        <v>24169.29</v>
      </c>
      <c r="J161" s="13">
        <f>I161/$C$102</f>
        <v>0.24169290000000002</v>
      </c>
      <c r="K161" s="9"/>
      <c r="L161" s="9"/>
      <c r="M161" s="9"/>
      <c r="N161" s="9"/>
    </row>
    <row r="162" spans="2:14" ht="30" customHeight="1">
      <c r="B162" s="19" t="s">
        <v>102</v>
      </c>
      <c r="C162" s="19"/>
      <c r="D162" s="19"/>
      <c r="E162" s="19"/>
      <c r="F162" s="19"/>
      <c r="G162" s="19"/>
      <c r="H162" s="19"/>
      <c r="I162" s="20">
        <f>SUM(I161:I161)</f>
        <v>24169.29</v>
      </c>
      <c r="J162" s="19"/>
      <c r="K162" s="19"/>
      <c r="L162" s="19"/>
      <c r="M162" s="19"/>
      <c r="N162" s="19"/>
    </row>
    <row r="163" spans="2:14" ht="24.95" customHeight="1">
      <c r="B163" s="47" t="s">
        <v>45</v>
      </c>
      <c r="C163" s="47"/>
      <c r="D163" s="47"/>
      <c r="E163" s="47"/>
      <c r="F163" s="47"/>
      <c r="G163" s="47"/>
      <c r="H163" s="47"/>
      <c r="I163" s="47"/>
      <c r="J163" s="47"/>
      <c r="K163" s="47"/>
      <c r="L163" s="47"/>
      <c r="M163" s="47"/>
      <c r="N163" s="47"/>
    </row>
    <row r="164" spans="2:14" ht="38.1" customHeight="1">
      <c r="B164" s="10" t="str">
        <f>Tarifas!B37</f>
        <v>Programática</v>
      </c>
      <c r="C164" s="10" t="str">
        <f>Tarifas!C37</f>
        <v>Display premium local</v>
      </c>
      <c r="D164" s="36">
        <f>Tarifas!E37</f>
        <v>9.1999999999999993</v>
      </c>
      <c r="E164" s="40">
        <f>ROUNDDOWN(E109/$D164*1000,0)</f>
        <v>163043</v>
      </c>
      <c r="F164" s="40">
        <f>ROUNDDOWN(F109/$D164*1000,0)</f>
        <v>217391</v>
      </c>
      <c r="G164" s="40">
        <f>ROUNDDOWN(G109/$D164*1000,0)</f>
        <v>163045</v>
      </c>
      <c r="H164" s="40">
        <f>SUM(E164:G164)</f>
        <v>543479</v>
      </c>
      <c r="I164" s="11">
        <f>I109</f>
        <v>5000.0200000000004</v>
      </c>
      <c r="J164" s="13">
        <f>I164/$C$102</f>
        <v>5.0000200000000002E-2</v>
      </c>
      <c r="K164" s="9"/>
      <c r="L164" s="9"/>
      <c r="M164" s="9"/>
      <c r="N164" s="9"/>
    </row>
    <row r="165" spans="2:14" ht="30" customHeight="1">
      <c r="B165" s="19" t="s">
        <v>150</v>
      </c>
      <c r="C165" s="19"/>
      <c r="D165" s="19"/>
      <c r="E165" s="19"/>
      <c r="F165" s="19"/>
      <c r="G165" s="19"/>
      <c r="H165" s="19"/>
      <c r="I165" s="20">
        <f>SUM(I164:I164)</f>
        <v>5000.0200000000004</v>
      </c>
      <c r="J165" s="19"/>
      <c r="K165" s="19"/>
      <c r="L165" s="19"/>
      <c r="M165" s="19"/>
      <c r="N165" s="19"/>
    </row>
    <row r="167" spans="2:14" ht="24.95" customHeight="1">
      <c r="B167" s="47" t="s">
        <v>136</v>
      </c>
      <c r="C167" s="47"/>
      <c r="D167" s="47"/>
      <c r="E167" s="47"/>
      <c r="F167" s="47"/>
      <c r="G167" s="47"/>
      <c r="H167" s="47"/>
      <c r="I167" s="47"/>
      <c r="J167" s="47"/>
      <c r="K167" s="47"/>
      <c r="L167" s="47"/>
      <c r="M167" s="47"/>
      <c r="N167" s="47"/>
    </row>
    <row r="168" spans="2:14" ht="42" customHeight="1">
      <c r="B168" s="6" t="s">
        <v>38</v>
      </c>
      <c r="C168" s="7" t="s">
        <v>137</v>
      </c>
      <c r="D168" s="7" t="s">
        <v>138</v>
      </c>
      <c r="E168" s="7" t="s">
        <v>139</v>
      </c>
      <c r="F168" s="50" t="s">
        <v>140</v>
      </c>
      <c r="G168" s="51"/>
      <c r="H168" s="51"/>
      <c r="I168" s="51"/>
      <c r="J168" s="51"/>
      <c r="K168" s="51"/>
      <c r="L168" s="51"/>
      <c r="M168" s="51"/>
      <c r="N168" s="51"/>
    </row>
    <row r="169" spans="2:14" ht="60" customHeight="1">
      <c r="B169" s="10" t="s">
        <v>8</v>
      </c>
      <c r="C169" s="10" t="s">
        <v>141</v>
      </c>
      <c r="D169" s="10" t="s">
        <v>141</v>
      </c>
      <c r="E169" s="43" t="s">
        <v>141</v>
      </c>
      <c r="F169" s="48" t="s">
        <v>142</v>
      </c>
      <c r="G169" s="48"/>
      <c r="H169" s="48"/>
      <c r="I169" s="48"/>
      <c r="J169" s="48"/>
      <c r="K169" s="48"/>
      <c r="L169" s="48"/>
      <c r="M169" s="48"/>
      <c r="N169" s="48"/>
    </row>
    <row r="170" spans="2:14" ht="60" customHeight="1">
      <c r="B170" s="15" t="s">
        <v>41</v>
      </c>
      <c r="C170" s="15" t="s">
        <v>141</v>
      </c>
      <c r="D170" s="15" t="s">
        <v>141</v>
      </c>
      <c r="E170" s="44" t="s">
        <v>141</v>
      </c>
      <c r="F170" s="49" t="s">
        <v>143</v>
      </c>
      <c r="G170" s="49"/>
      <c r="H170" s="49"/>
      <c r="I170" s="49"/>
      <c r="J170" s="49"/>
      <c r="K170" s="49"/>
      <c r="L170" s="49"/>
      <c r="M170" s="49"/>
      <c r="N170" s="49"/>
    </row>
    <row r="171" spans="2:14" ht="60" customHeight="1">
      <c r="B171" s="10" t="s">
        <v>42</v>
      </c>
      <c r="C171" s="10" t="s">
        <v>141</v>
      </c>
      <c r="D171" s="10" t="s">
        <v>141</v>
      </c>
      <c r="E171" s="43" t="s">
        <v>141</v>
      </c>
      <c r="F171" s="48" t="s">
        <v>167</v>
      </c>
      <c r="G171" s="48"/>
      <c r="H171" s="48"/>
      <c r="I171" s="48"/>
      <c r="J171" s="48"/>
      <c r="K171" s="48"/>
      <c r="L171" s="48"/>
      <c r="M171" s="48"/>
      <c r="N171" s="48"/>
    </row>
    <row r="172" spans="2:14" ht="60" customHeight="1">
      <c r="B172" s="15" t="s">
        <v>43</v>
      </c>
      <c r="C172" s="15" t="s">
        <v>141</v>
      </c>
      <c r="D172" s="15" t="s">
        <v>141</v>
      </c>
      <c r="E172" s="44">
        <f>H108</f>
        <v>2802235</v>
      </c>
      <c r="F172" s="49" t="s">
        <v>144</v>
      </c>
      <c r="G172" s="49"/>
      <c r="H172" s="49"/>
      <c r="I172" s="49"/>
      <c r="J172" s="49"/>
      <c r="K172" s="49"/>
      <c r="L172" s="49"/>
      <c r="M172" s="49"/>
      <c r="N172" s="49"/>
    </row>
    <row r="173" spans="2:14" ht="60" customHeight="1">
      <c r="B173" s="10" t="s">
        <v>45</v>
      </c>
      <c r="C173" s="10" t="s">
        <v>141</v>
      </c>
      <c r="D173" s="10" t="s">
        <v>141</v>
      </c>
      <c r="E173" s="43">
        <f>H109</f>
        <v>543479</v>
      </c>
      <c r="F173" s="48" t="s">
        <v>144</v>
      </c>
      <c r="G173" s="48"/>
      <c r="H173" s="48"/>
      <c r="I173" s="48"/>
      <c r="J173" s="48"/>
      <c r="K173" s="48"/>
      <c r="L173" s="48"/>
      <c r="M173" s="48"/>
      <c r="N173" s="48"/>
    </row>
    <row r="177" spans="2:14" ht="24.95" customHeight="1">
      <c r="B177" s="47" t="s">
        <v>172</v>
      </c>
      <c r="C177" s="47"/>
      <c r="D177" s="47"/>
      <c r="E177" s="47"/>
      <c r="F177" s="47"/>
      <c r="G177" s="47"/>
      <c r="H177" s="47"/>
      <c r="I177" s="47"/>
      <c r="J177" s="47"/>
      <c r="K177" s="47"/>
      <c r="L177" s="47"/>
      <c r="M177" s="47"/>
      <c r="N177" s="47"/>
    </row>
    <row r="178" spans="2:14" ht="32.1" customHeight="1">
      <c r="B178" s="45" t="s">
        <v>173</v>
      </c>
      <c r="C178" s="45"/>
      <c r="D178" s="45"/>
      <c r="E178" s="45"/>
      <c r="F178" s="45"/>
      <c r="G178" s="45"/>
      <c r="H178" s="45"/>
      <c r="I178" s="45"/>
      <c r="J178" s="45"/>
      <c r="K178" s="45"/>
      <c r="L178" s="45"/>
      <c r="M178" s="45"/>
      <c r="N178" s="45"/>
    </row>
    <row r="179" spans="2:14" ht="32.1" customHeight="1">
      <c r="B179" s="45" t="s">
        <v>174</v>
      </c>
      <c r="C179" s="45"/>
      <c r="D179" s="45"/>
      <c r="E179" s="45"/>
      <c r="F179" s="45"/>
      <c r="G179" s="45"/>
      <c r="H179" s="45"/>
      <c r="I179" s="45"/>
      <c r="J179" s="45"/>
      <c r="K179" s="45"/>
      <c r="L179" s="45"/>
      <c r="M179" s="45"/>
      <c r="N179" s="45"/>
    </row>
    <row r="180" spans="2:14" ht="33.950000000000003" customHeight="1">
      <c r="B180" s="45" t="s">
        <v>171</v>
      </c>
      <c r="C180" s="45"/>
      <c r="D180" s="45"/>
      <c r="E180" s="45"/>
      <c r="F180" s="45"/>
      <c r="G180" s="45"/>
      <c r="H180" s="45"/>
      <c r="I180" s="45"/>
      <c r="J180" s="45"/>
      <c r="K180" s="45"/>
      <c r="L180" s="45"/>
      <c r="M180" s="45"/>
      <c r="N180" s="45"/>
    </row>
    <row r="181" spans="2:14">
      <c r="B181" s="2" t="s">
        <v>61</v>
      </c>
      <c r="C181" s="35">
        <f>'AGA y criterios'!D35</f>
        <v>100000</v>
      </c>
    </row>
    <row r="183" spans="2:14" ht="42" customHeight="1">
      <c r="B183" s="6" t="s">
        <v>38</v>
      </c>
      <c r="C183" s="7" t="s">
        <v>63</v>
      </c>
      <c r="D183" s="7" t="s">
        <v>64</v>
      </c>
      <c r="E183" s="7" t="s">
        <v>164</v>
      </c>
      <c r="F183" s="7" t="s">
        <v>165</v>
      </c>
      <c r="G183" s="7" t="s">
        <v>69</v>
      </c>
      <c r="H183" s="7" t="s">
        <v>72</v>
      </c>
      <c r="I183" s="7" t="s">
        <v>2</v>
      </c>
      <c r="J183" s="8" t="s">
        <v>13</v>
      </c>
    </row>
    <row r="184" spans="2:14" ht="30.95" customHeight="1">
      <c r="B184" s="10" t="s">
        <v>8</v>
      </c>
      <c r="C184" s="10" t="s">
        <v>73</v>
      </c>
      <c r="D184" s="36">
        <f>SUM(Tarifas!E7:E12)</f>
        <v>10068.25</v>
      </c>
      <c r="E184" s="11">
        <f>ROUND($C$181*('Base de distribución'!E99/SUM('Base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10812.12</v>
      </c>
      <c r="F184" s="11">
        <f>ROUND($C$181*('Base de distribución'!E100/SUM('Base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12974.55</v>
      </c>
      <c r="G184" s="11">
        <f>ROUND($C$181*('Base de distribución'!E101/SUM('Base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10812.12</v>
      </c>
      <c r="H184" s="37">
        <f>SUM(H205:H210)</f>
        <v>20.618552380006459</v>
      </c>
      <c r="I184" s="11">
        <f>SUM(E184:G184)</f>
        <v>34598.79</v>
      </c>
      <c r="J184" s="13">
        <f>I184/$C$181</f>
        <v>0.34598790000000001</v>
      </c>
      <c r="K184" s="9"/>
      <c r="L184" s="9"/>
      <c r="M184" s="9"/>
      <c r="N184" s="9"/>
    </row>
    <row r="185" spans="2:14" ht="30.95" customHeight="1">
      <c r="B185" s="15" t="s">
        <v>41</v>
      </c>
      <c r="C185" s="15" t="s">
        <v>74</v>
      </c>
      <c r="D185" s="38">
        <f>SUM(Tarifas!E13:E30)</f>
        <v>665.16</v>
      </c>
      <c r="E185" s="16">
        <f>ROUND($C$181*('Base de distribución'!E102/SUM('Base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5714.43</v>
      </c>
      <c r="F185" s="16">
        <f>ROUND($C$181*('Base de distribución'!E103/SUM('Base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7143.04</v>
      </c>
      <c r="G185" s="16">
        <f>ROUND($C$181*('Base de distribución'!E104/SUM('Base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5714.43</v>
      </c>
      <c r="H185" s="39">
        <f>SUM(H213:H230)</f>
        <v>502.57712430091999</v>
      </c>
      <c r="I185" s="16">
        <f>SUM(E185:G185)</f>
        <v>18571.900000000001</v>
      </c>
      <c r="J185" s="18">
        <f>I185/$C$181</f>
        <v>0.18571900000000002</v>
      </c>
      <c r="K185" s="14"/>
      <c r="L185" s="14"/>
      <c r="M185" s="14"/>
      <c r="N185" s="14"/>
    </row>
    <row r="186" spans="2:14" ht="30.95" customHeight="1">
      <c r="B186" s="10" t="s">
        <v>42</v>
      </c>
      <c r="C186" s="10" t="s">
        <v>120</v>
      </c>
      <c r="D186" s="36">
        <f>SUM(Tarifas!E31:E34)</f>
        <v>16445</v>
      </c>
      <c r="E186" s="11">
        <f>ROUND($C$181*('Base de distribución'!E105/SUM('Base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7064</v>
      </c>
      <c r="F186" s="11">
        <f>ROUND($C$181*('Base de distribución'!E106/SUM('Base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7064</v>
      </c>
      <c r="G186" s="11">
        <f>ROUND($C$181*('Base de distribución'!E107/SUM('Base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3532</v>
      </c>
      <c r="H186" s="37">
        <f>H233*Tarifas!F31+H234*Tarifas!F32+H235*Tarifas!F33+H236*Tarifas!F34</f>
        <v>30.068713894800855</v>
      </c>
      <c r="I186" s="11">
        <f>SUM(E186:G186)</f>
        <v>17660</v>
      </c>
      <c r="J186" s="13">
        <f>I186/$C$181</f>
        <v>0.17660000000000001</v>
      </c>
      <c r="K186" s="9"/>
      <c r="L186" s="9"/>
      <c r="M186" s="9"/>
      <c r="N186" s="9"/>
    </row>
    <row r="187" spans="2:14" ht="30.95" customHeight="1">
      <c r="B187" s="15" t="s">
        <v>43</v>
      </c>
      <c r="C187" s="15" t="s">
        <v>75</v>
      </c>
      <c r="D187" s="38">
        <f>Tarifas!E35</f>
        <v>8.625</v>
      </c>
      <c r="E187" s="16">
        <f>ROUND($C$181*('Base de distribución'!E108/SUM('Base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4909.4399999999996</v>
      </c>
      <c r="F187" s="16">
        <f>ROUND($C$181*('Base de distribución'!E109/SUM('Base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10818.41</v>
      </c>
      <c r="G187" s="16">
        <f>ROUND($C$181*('Base de distribución'!E110/SUM('Base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8441.44</v>
      </c>
      <c r="H187" s="41">
        <f>SUM(H240:H240)</f>
        <v>2802235</v>
      </c>
      <c r="I187" s="16">
        <f>SUM(E187:G187)</f>
        <v>24169.29</v>
      </c>
      <c r="J187" s="18">
        <f>I187/$C$181</f>
        <v>0.24169290000000002</v>
      </c>
      <c r="K187" s="14"/>
      <c r="L187" s="14"/>
      <c r="M187" s="14"/>
      <c r="N187" s="14"/>
    </row>
    <row r="188" spans="2:14" ht="30.95" customHeight="1">
      <c r="B188" s="10" t="s">
        <v>45</v>
      </c>
      <c r="C188" s="10" t="s">
        <v>75</v>
      </c>
      <c r="D188" s="36">
        <f>Tarifas!E37</f>
        <v>9.1999999999999993</v>
      </c>
      <c r="E188" s="11">
        <f>ROUND($C$181*('Base de distribución'!E111/SUM('Base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1500</v>
      </c>
      <c r="F188" s="11">
        <f>ROUND($C$181*('Base de distribución'!E112/SUM('Base de distribución'!E99,'Base de distribución'!E100,'Base de distribución'!E101,'Base de distribución'!E102,'Base de distribución'!E103,'Base de distribución'!E104,'Base de distribución'!E105,'Base de distribución'!E106,'Base de distribución'!E107,'Base de distribución'!E108,'Base de distribución'!E109,'Base de distribución'!E110,'Base de distribución'!E111,'Base de distribución'!E112,'Base de distribución'!E113)),2)</f>
        <v>2000</v>
      </c>
      <c r="G188" s="11">
        <f>ROUND($C$181-SUM(E184:G184,E185:G185,E186:G186,E187:G187,E188:F188),2)</f>
        <v>1500.02</v>
      </c>
      <c r="H188" s="40">
        <f>SUM(H243:H243)</f>
        <v>543479</v>
      </c>
      <c r="I188" s="11">
        <f>SUM(E188:G188)</f>
        <v>5000.0200000000004</v>
      </c>
      <c r="J188" s="13">
        <f>I188/$C$181</f>
        <v>5.0000200000000002E-2</v>
      </c>
      <c r="K188" s="9"/>
      <c r="L188" s="9"/>
      <c r="M188" s="9"/>
      <c r="N188" s="9"/>
    </row>
    <row r="189" spans="2:14" ht="30" customHeight="1">
      <c r="B189" s="19" t="s">
        <v>78</v>
      </c>
      <c r="C189" s="19"/>
      <c r="D189" s="19"/>
      <c r="E189" s="20">
        <f>SUM(E184:E188)</f>
        <v>29999.99</v>
      </c>
      <c r="F189" s="20">
        <f>SUM(F184:F188)</f>
        <v>40000</v>
      </c>
      <c r="G189" s="20">
        <f>SUM(G184:G188)</f>
        <v>30000.010000000006</v>
      </c>
      <c r="H189" s="19"/>
      <c r="I189" s="20">
        <f>SUM(I184:I188)</f>
        <v>100000.00000000001</v>
      </c>
      <c r="J189" s="22">
        <f>SUM(J184:J188)</f>
        <v>1</v>
      </c>
      <c r="K189" s="19"/>
      <c r="L189" s="19"/>
      <c r="M189" s="19"/>
      <c r="N189" s="19"/>
    </row>
    <row r="190" spans="2:14">
      <c r="B190" s="2" t="s">
        <v>79</v>
      </c>
      <c r="C190" s="42">
        <f>ROUND(C181-I189,2)</f>
        <v>0</v>
      </c>
    </row>
    <row r="191" spans="2:14" ht="32.1" customHeight="1">
      <c r="B191" s="45" t="s">
        <v>80</v>
      </c>
      <c r="C191" s="45"/>
      <c r="D191" s="45"/>
      <c r="E191" s="45"/>
      <c r="F191" s="45"/>
      <c r="G191" s="45"/>
      <c r="H191" s="45"/>
      <c r="I191" s="45"/>
      <c r="J191" s="45"/>
      <c r="K191" s="45"/>
      <c r="L191" s="45"/>
      <c r="M191" s="45"/>
      <c r="N191" s="45"/>
    </row>
    <row r="192" spans="2:14" ht="32.1" customHeight="1">
      <c r="B192" s="45" t="s">
        <v>81</v>
      </c>
      <c r="C192" s="45"/>
      <c r="D192" s="45"/>
      <c r="E192" s="45"/>
      <c r="F192" s="45"/>
      <c r="G192" s="45"/>
      <c r="H192" s="45"/>
      <c r="I192" s="45"/>
      <c r="J192" s="45"/>
      <c r="K192" s="45"/>
      <c r="L192" s="45"/>
      <c r="M192" s="45"/>
      <c r="N192" s="45"/>
    </row>
    <row r="194" spans="2:14" ht="24.95" customHeight="1">
      <c r="B194" s="47" t="s">
        <v>82</v>
      </c>
      <c r="C194" s="47"/>
      <c r="D194" s="47"/>
      <c r="E194" s="47"/>
      <c r="F194" s="47"/>
      <c r="G194" s="47"/>
      <c r="H194" s="47"/>
      <c r="I194" s="47"/>
      <c r="J194" s="47"/>
      <c r="K194" s="47"/>
      <c r="L194" s="47"/>
      <c r="M194" s="47"/>
      <c r="N194" s="47"/>
    </row>
    <row r="195" spans="2:14" ht="42" customHeight="1">
      <c r="B195" s="6" t="s">
        <v>38</v>
      </c>
      <c r="C195" s="7" t="s">
        <v>83</v>
      </c>
      <c r="D195" s="7" t="s">
        <v>84</v>
      </c>
      <c r="E195" s="7" t="s">
        <v>164</v>
      </c>
      <c r="F195" s="7" t="s">
        <v>165</v>
      </c>
      <c r="G195" s="8" t="s">
        <v>69</v>
      </c>
    </row>
    <row r="196" spans="2:14" ht="44.1" customHeight="1">
      <c r="B196" s="10" t="s">
        <v>8</v>
      </c>
      <c r="C196" s="10" t="s">
        <v>85</v>
      </c>
      <c r="D196" s="10" t="s">
        <v>86</v>
      </c>
      <c r="E196" s="9" t="s">
        <v>164</v>
      </c>
      <c r="F196" s="9" t="s">
        <v>165</v>
      </c>
      <c r="G196" s="9" t="s">
        <v>69</v>
      </c>
      <c r="H196" s="9"/>
      <c r="I196" s="9"/>
      <c r="J196" s="9"/>
      <c r="K196" s="9"/>
      <c r="L196" s="9"/>
      <c r="M196" s="9"/>
      <c r="N196" s="9"/>
    </row>
    <row r="197" spans="2:14" ht="44.1" customHeight="1">
      <c r="B197" s="15" t="s">
        <v>41</v>
      </c>
      <c r="C197" s="15" t="s">
        <v>87</v>
      </c>
      <c r="D197" s="15" t="s">
        <v>88</v>
      </c>
      <c r="E197" s="14" t="s">
        <v>164</v>
      </c>
      <c r="F197" s="14" t="s">
        <v>165</v>
      </c>
      <c r="G197" s="14" t="s">
        <v>69</v>
      </c>
      <c r="H197" s="14"/>
      <c r="I197" s="14"/>
      <c r="J197" s="14"/>
      <c r="K197" s="14"/>
      <c r="L197" s="14"/>
      <c r="M197" s="14"/>
      <c r="N197" s="14"/>
    </row>
    <row r="198" spans="2:14" ht="44.1" customHeight="1">
      <c r="B198" s="10" t="s">
        <v>42</v>
      </c>
      <c r="C198" s="10" t="s">
        <v>121</v>
      </c>
      <c r="D198" s="10" t="s">
        <v>88</v>
      </c>
      <c r="E198" s="9" t="s">
        <v>164</v>
      </c>
      <c r="F198" s="9" t="s">
        <v>165</v>
      </c>
      <c r="G198" s="9" t="s">
        <v>69</v>
      </c>
      <c r="H198" s="9"/>
      <c r="I198" s="9"/>
      <c r="J198" s="9"/>
      <c r="K198" s="9"/>
      <c r="L198" s="9"/>
      <c r="M198" s="9"/>
      <c r="N198" s="9"/>
    </row>
    <row r="199" spans="2:14" ht="44.1" customHeight="1">
      <c r="B199" s="15" t="s">
        <v>43</v>
      </c>
      <c r="C199" s="15" t="s">
        <v>89</v>
      </c>
      <c r="D199" s="15" t="s">
        <v>86</v>
      </c>
      <c r="E199" s="14" t="s">
        <v>164</v>
      </c>
      <c r="F199" s="14" t="s">
        <v>165</v>
      </c>
      <c r="G199" s="14" t="s">
        <v>69</v>
      </c>
      <c r="H199" s="14"/>
      <c r="I199" s="14"/>
      <c r="J199" s="14"/>
      <c r="K199" s="14"/>
      <c r="L199" s="14"/>
      <c r="M199" s="14"/>
      <c r="N199" s="14"/>
    </row>
    <row r="200" spans="2:14" ht="44.1" customHeight="1">
      <c r="B200" s="10" t="s">
        <v>45</v>
      </c>
      <c r="C200" s="10" t="s">
        <v>149</v>
      </c>
      <c r="D200" s="10" t="s">
        <v>86</v>
      </c>
      <c r="E200" s="9" t="s">
        <v>164</v>
      </c>
      <c r="F200" s="9" t="s">
        <v>165</v>
      </c>
      <c r="G200" s="9" t="s">
        <v>69</v>
      </c>
      <c r="H200" s="9"/>
      <c r="I200" s="9"/>
      <c r="J200" s="9"/>
      <c r="K200" s="9"/>
      <c r="L200" s="9"/>
      <c r="M200" s="9"/>
      <c r="N200" s="9"/>
    </row>
    <row r="202" spans="2:14" ht="24.95" customHeight="1">
      <c r="B202" s="47" t="s">
        <v>93</v>
      </c>
      <c r="C202" s="47"/>
      <c r="D202" s="47"/>
      <c r="E202" s="47"/>
      <c r="F202" s="47"/>
      <c r="G202" s="47"/>
      <c r="H202" s="47"/>
      <c r="I202" s="47"/>
      <c r="J202" s="47"/>
      <c r="K202" s="47"/>
      <c r="L202" s="47"/>
      <c r="M202" s="47"/>
      <c r="N202" s="47"/>
    </row>
    <row r="203" spans="2:14" ht="42" customHeight="1">
      <c r="B203" s="6" t="s">
        <v>94</v>
      </c>
      <c r="C203" s="7" t="s">
        <v>95</v>
      </c>
      <c r="D203" s="7" t="s">
        <v>64</v>
      </c>
      <c r="E203" s="7" t="s">
        <v>164</v>
      </c>
      <c r="F203" s="7" t="s">
        <v>165</v>
      </c>
      <c r="G203" s="7" t="s">
        <v>69</v>
      </c>
      <c r="H203" s="7" t="s">
        <v>96</v>
      </c>
      <c r="I203" s="7" t="s">
        <v>2</v>
      </c>
      <c r="J203" s="8" t="s">
        <v>97</v>
      </c>
    </row>
    <row r="204" spans="2:14" ht="24.95" customHeight="1">
      <c r="B204" s="47" t="s">
        <v>8</v>
      </c>
      <c r="C204" s="47"/>
      <c r="D204" s="47"/>
      <c r="E204" s="47"/>
      <c r="F204" s="47"/>
      <c r="G204" s="47"/>
      <c r="H204" s="47"/>
      <c r="I204" s="47"/>
      <c r="J204" s="47"/>
      <c r="K204" s="47"/>
      <c r="L204" s="47"/>
      <c r="M204" s="47"/>
      <c r="N204" s="47"/>
    </row>
    <row r="205" spans="2:14" ht="38.1" customHeight="1">
      <c r="B205" s="10" t="str">
        <f>Tarifas!B7</f>
        <v>Telemundo</v>
      </c>
      <c r="C205" s="10" t="str">
        <f>Tarifas!C7</f>
        <v>Dia a Dia</v>
      </c>
      <c r="D205" s="36">
        <f>Tarifas!E7</f>
        <v>782</v>
      </c>
      <c r="E205" s="37">
        <f>E184/$D$184</f>
        <v>1.0738827502296826</v>
      </c>
      <c r="F205" s="37">
        <f>F184/$D$184</f>
        <v>1.2886598962083777</v>
      </c>
      <c r="G205" s="37">
        <f>G184/$D$184</f>
        <v>1.0738827502296826</v>
      </c>
      <c r="H205" s="37">
        <f t="shared" ref="H205:H210" si="11">SUM(E205:G205)</f>
        <v>3.4364253966677429</v>
      </c>
      <c r="I205" s="11">
        <f>ROUND(H205*D205,2)</f>
        <v>2687.28</v>
      </c>
      <c r="J205" s="13">
        <f t="shared" ref="J205:J210" si="12">I205/$C$181</f>
        <v>2.6872800000000002E-2</v>
      </c>
      <c r="K205" s="9"/>
      <c r="L205" s="9"/>
      <c r="M205" s="9"/>
      <c r="N205" s="9"/>
    </row>
    <row r="206" spans="2:14" ht="38.1" customHeight="1">
      <c r="B206" s="15" t="str">
        <f>Tarifas!B8</f>
        <v>Telemundo</v>
      </c>
      <c r="C206" s="15" t="str">
        <f>Tarifas!C8</f>
        <v>PR Gana 6pm (M,W,T,f,Su)</v>
      </c>
      <c r="D206" s="38">
        <f>Tarifas!E8</f>
        <v>2541.5</v>
      </c>
      <c r="E206" s="39">
        <f>E184/$D$184</f>
        <v>1.0738827502296826</v>
      </c>
      <c r="F206" s="39">
        <f>F184/$D$184</f>
        <v>1.2886598962083777</v>
      </c>
      <c r="G206" s="39">
        <f>G184/$D$184</f>
        <v>1.0738827502296826</v>
      </c>
      <c r="H206" s="39">
        <f t="shared" si="11"/>
        <v>3.4364253966677429</v>
      </c>
      <c r="I206" s="16">
        <f>ROUND(H206*D206,2)</f>
        <v>8733.68</v>
      </c>
      <c r="J206" s="18">
        <f t="shared" si="12"/>
        <v>8.7336800000000006E-2</v>
      </c>
      <c r="K206" s="14"/>
      <c r="L206" s="14"/>
      <c r="M206" s="14"/>
      <c r="N206" s="14"/>
    </row>
    <row r="207" spans="2:14" ht="38.1" customHeight="1">
      <c r="B207" s="10" t="str">
        <f>Tarifas!B9</f>
        <v>WAPA</v>
      </c>
      <c r="C207" s="10" t="str">
        <f>Tarifas!C9</f>
        <v>Pegate al MedioDIa</v>
      </c>
      <c r="D207" s="36">
        <f>Tarifas!E9</f>
        <v>977.5</v>
      </c>
      <c r="E207" s="37">
        <f>E184/$D$184</f>
        <v>1.0738827502296826</v>
      </c>
      <c r="F207" s="37">
        <f>F184/$D$184</f>
        <v>1.2886598962083777</v>
      </c>
      <c r="G207" s="37">
        <f>G184/$D$184</f>
        <v>1.0738827502296826</v>
      </c>
      <c r="H207" s="37">
        <f t="shared" si="11"/>
        <v>3.4364253966677429</v>
      </c>
      <c r="I207" s="11">
        <f>ROUND(H207*D207,2)</f>
        <v>3359.11</v>
      </c>
      <c r="J207" s="13">
        <f t="shared" si="12"/>
        <v>3.3591099999999999E-2</v>
      </c>
      <c r="K207" s="9"/>
      <c r="L207" s="9"/>
      <c r="M207" s="9"/>
      <c r="N207" s="9"/>
    </row>
    <row r="208" spans="2:14" ht="38.1" customHeight="1">
      <c r="B208" s="15" t="str">
        <f>Tarifas!B10</f>
        <v>WAPA</v>
      </c>
      <c r="C208" s="15" t="str">
        <f>Tarifas!C10</f>
        <v>Reality-Funcion Estelar 7p</v>
      </c>
      <c r="D208" s="38">
        <f>Tarifas!E10</f>
        <v>3519</v>
      </c>
      <c r="E208" s="39">
        <f>E184/$D$184</f>
        <v>1.0738827502296826</v>
      </c>
      <c r="F208" s="39">
        <f>F184/$D$184</f>
        <v>1.2886598962083777</v>
      </c>
      <c r="G208" s="39">
        <f>G184/$D$184</f>
        <v>1.0738827502296826</v>
      </c>
      <c r="H208" s="39">
        <f t="shared" si="11"/>
        <v>3.4364253966677429</v>
      </c>
      <c r="I208" s="16">
        <f>ROUND(H208*D208,2)</f>
        <v>12092.78</v>
      </c>
      <c r="J208" s="18">
        <f t="shared" si="12"/>
        <v>0.1209278</v>
      </c>
      <c r="K208" s="14"/>
      <c r="L208" s="14"/>
      <c r="M208" s="14"/>
      <c r="N208" s="14"/>
    </row>
    <row r="209" spans="2:14" ht="38.1" customHeight="1">
      <c r="B209" s="10" t="str">
        <f>Tarifas!B11</f>
        <v>TeleOnce</v>
      </c>
      <c r="C209" s="10" t="str">
        <f>Tarifas!C11</f>
        <v>PR en Vivo</v>
      </c>
      <c r="D209" s="36">
        <f>Tarifas!E11</f>
        <v>586.5</v>
      </c>
      <c r="E209" s="37">
        <f>E184/$D$184</f>
        <v>1.0738827502296826</v>
      </c>
      <c r="F209" s="37">
        <f>F184/$D$184</f>
        <v>1.2886598962083777</v>
      </c>
      <c r="G209" s="37">
        <f>G184/$D$184</f>
        <v>1.0738827502296826</v>
      </c>
      <c r="H209" s="37">
        <f t="shared" si="11"/>
        <v>3.4364253966677429</v>
      </c>
      <c r="I209" s="11">
        <f>ROUND(H209*D209,2)</f>
        <v>2015.46</v>
      </c>
      <c r="J209" s="13">
        <f t="shared" si="12"/>
        <v>2.0154600000000002E-2</v>
      </c>
      <c r="K209" s="9"/>
      <c r="L209" s="9"/>
      <c r="M209" s="9"/>
      <c r="N209" s="9"/>
    </row>
    <row r="210" spans="2:14" ht="38.1" customHeight="1">
      <c r="B210" s="15" t="str">
        <f>Tarifas!B12</f>
        <v>TeleOnce</v>
      </c>
      <c r="C210" s="15" t="str">
        <f>Tarifas!C12</f>
        <v>Las Noticias Prime</v>
      </c>
      <c r="D210" s="38">
        <f>Tarifas!E12</f>
        <v>1661.75</v>
      </c>
      <c r="E210" s="39">
        <f>E184/$D$184</f>
        <v>1.0738827502296826</v>
      </c>
      <c r="F210" s="39">
        <f>F184/$D$184</f>
        <v>1.2886598962083777</v>
      </c>
      <c r="G210" s="39">
        <f>G184/$D$184</f>
        <v>1.0738827502296826</v>
      </c>
      <c r="H210" s="39">
        <f t="shared" si="11"/>
        <v>3.4364253966677429</v>
      </c>
      <c r="I210" s="16">
        <f>ROUND(I184-SUM(I205:I209),2)</f>
        <v>5710.48</v>
      </c>
      <c r="J210" s="18">
        <f t="shared" si="12"/>
        <v>5.7104799999999997E-2</v>
      </c>
      <c r="K210" s="14"/>
      <c r="L210" s="14"/>
      <c r="M210" s="14"/>
      <c r="N210" s="14"/>
    </row>
    <row r="211" spans="2:14" ht="30" customHeight="1">
      <c r="B211" s="19" t="s">
        <v>98</v>
      </c>
      <c r="C211" s="19"/>
      <c r="D211" s="19"/>
      <c r="E211" s="19"/>
      <c r="F211" s="19"/>
      <c r="G211" s="19"/>
      <c r="H211" s="19"/>
      <c r="I211" s="20">
        <f>SUM(I205:I210)</f>
        <v>34598.79</v>
      </c>
      <c r="J211" s="19"/>
      <c r="K211" s="19"/>
      <c r="L211" s="19"/>
      <c r="M211" s="19"/>
      <c r="N211" s="19"/>
    </row>
    <row r="212" spans="2:14" ht="24.95" customHeight="1">
      <c r="B212" s="47" t="s">
        <v>41</v>
      </c>
      <c r="C212" s="47"/>
      <c r="D212" s="47"/>
      <c r="E212" s="47"/>
      <c r="F212" s="47"/>
      <c r="G212" s="47"/>
      <c r="H212" s="47"/>
      <c r="I212" s="47"/>
      <c r="J212" s="47"/>
      <c r="K212" s="47"/>
      <c r="L212" s="47"/>
      <c r="M212" s="47"/>
      <c r="N212" s="47"/>
    </row>
    <row r="213" spans="2:14" ht="38.1" customHeight="1">
      <c r="B213" s="10" t="str">
        <f>Tarifas!B13</f>
        <v>Unica Radio-1230am</v>
      </c>
      <c r="C213" s="10" t="str">
        <f>Tarifas!C13</f>
        <v>ROS 7 a. m.–5 p. m.</v>
      </c>
      <c r="D213" s="36">
        <f>Tarifas!E13</f>
        <v>36.799999999999997</v>
      </c>
      <c r="E213" s="37">
        <f>E185/$D$185</f>
        <v>8.5910607974021289</v>
      </c>
      <c r="F213" s="37">
        <f>F185/$D$185</f>
        <v>10.738829755246858</v>
      </c>
      <c r="G213" s="37">
        <f>G185/$D$185</f>
        <v>8.5910607974021289</v>
      </c>
      <c r="H213" s="37">
        <f t="shared" ref="H213:H230" si="13">SUM(E213:G213)</f>
        <v>27.920951350051116</v>
      </c>
      <c r="I213" s="11">
        <f t="shared" ref="I213:I229" si="14">ROUND(H213*D213,2)</f>
        <v>1027.49</v>
      </c>
      <c r="J213" s="13">
        <f t="shared" ref="J213:J230" si="15">I213/$C$181</f>
        <v>1.02749E-2</v>
      </c>
      <c r="K213" s="9"/>
      <c r="L213" s="9"/>
      <c r="M213" s="9"/>
      <c r="N213" s="9"/>
    </row>
    <row r="214" spans="2:14" ht="38.1" customHeight="1">
      <c r="B214" s="15" t="str">
        <f>Tarifas!B14</f>
        <v>Radio Once-1120AM</v>
      </c>
      <c r="C214" s="15" t="str">
        <f>Tarifas!C14</f>
        <v>ROS 7 a. m.–5 p. m.</v>
      </c>
      <c r="D214" s="38">
        <f>Tarifas!E14</f>
        <v>36.799999999999997</v>
      </c>
      <c r="E214" s="39">
        <f>E185/$D$185</f>
        <v>8.5910607974021289</v>
      </c>
      <c r="F214" s="39">
        <f>F185/$D$185</f>
        <v>10.738829755246858</v>
      </c>
      <c r="G214" s="39">
        <f>G185/$D$185</f>
        <v>8.5910607974021289</v>
      </c>
      <c r="H214" s="39">
        <f t="shared" si="13"/>
        <v>27.920951350051116</v>
      </c>
      <c r="I214" s="16">
        <f t="shared" si="14"/>
        <v>1027.49</v>
      </c>
      <c r="J214" s="18">
        <f t="shared" si="15"/>
        <v>1.02749E-2</v>
      </c>
      <c r="K214" s="14"/>
      <c r="L214" s="14"/>
      <c r="M214" s="14"/>
      <c r="N214" s="14"/>
    </row>
    <row r="215" spans="2:14" ht="38.1" customHeight="1">
      <c r="B215" s="10" t="str">
        <f>Tarifas!B15</f>
        <v>WAPA Radio-Borinquen</v>
      </c>
      <c r="C215" s="10" t="str">
        <f>Tarifas!C15</f>
        <v>ROS 7 a. m.–5 p. m.</v>
      </c>
      <c r="D215" s="36">
        <f>Tarifas!E15</f>
        <v>55.2</v>
      </c>
      <c r="E215" s="37">
        <f>E185/$D$185</f>
        <v>8.5910607974021289</v>
      </c>
      <c r="F215" s="37">
        <f>F185/$D$185</f>
        <v>10.738829755246858</v>
      </c>
      <c r="G215" s="37">
        <f>G185/$D$185</f>
        <v>8.5910607974021289</v>
      </c>
      <c r="H215" s="37">
        <f t="shared" si="13"/>
        <v>27.920951350051116</v>
      </c>
      <c r="I215" s="11">
        <f t="shared" si="14"/>
        <v>1541.24</v>
      </c>
      <c r="J215" s="13">
        <f t="shared" si="15"/>
        <v>1.54124E-2</v>
      </c>
      <c r="K215" s="9"/>
      <c r="L215" s="9"/>
      <c r="M215" s="9"/>
      <c r="N215" s="9"/>
    </row>
    <row r="216" spans="2:14" ht="38.1" customHeight="1">
      <c r="B216" s="15" t="str">
        <f>Tarifas!B16</f>
        <v>WAEL-FM</v>
      </c>
      <c r="C216" s="15" t="str">
        <f>Tarifas!C16</f>
        <v>ROS 7 a. m.–5 p. m.</v>
      </c>
      <c r="D216" s="38">
        <f>Tarifas!E16</f>
        <v>36.799999999999997</v>
      </c>
      <c r="E216" s="39">
        <f>E185/$D$185</f>
        <v>8.5910607974021289</v>
      </c>
      <c r="F216" s="39">
        <f>F185/$D$185</f>
        <v>10.738829755246858</v>
      </c>
      <c r="G216" s="39">
        <f>G185/$D$185</f>
        <v>8.5910607974021289</v>
      </c>
      <c r="H216" s="39">
        <f t="shared" si="13"/>
        <v>27.920951350051116</v>
      </c>
      <c r="I216" s="16">
        <f t="shared" si="14"/>
        <v>1027.49</v>
      </c>
      <c r="J216" s="18">
        <f t="shared" si="15"/>
        <v>1.02749E-2</v>
      </c>
      <c r="K216" s="14"/>
      <c r="L216" s="14"/>
      <c r="M216" s="14"/>
      <c r="N216" s="14"/>
    </row>
    <row r="217" spans="2:14" ht="38.1" customHeight="1">
      <c r="B217" s="10" t="str">
        <f>Tarifas!B17</f>
        <v>WABA-AM (Aguadilla)</v>
      </c>
      <c r="C217" s="10" t="str">
        <f>Tarifas!C17</f>
        <v>ROS 7 a. m.–5 p. m.</v>
      </c>
      <c r="D217" s="36">
        <f>Tarifas!E17</f>
        <v>28.52</v>
      </c>
      <c r="E217" s="37">
        <f>E185/$D$185</f>
        <v>8.5910607974021289</v>
      </c>
      <c r="F217" s="37">
        <f>F185/$D$185</f>
        <v>10.738829755246858</v>
      </c>
      <c r="G217" s="37">
        <f>G185/$D$185</f>
        <v>8.5910607974021289</v>
      </c>
      <c r="H217" s="37">
        <f t="shared" si="13"/>
        <v>27.920951350051116</v>
      </c>
      <c r="I217" s="11">
        <f t="shared" si="14"/>
        <v>796.31</v>
      </c>
      <c r="J217" s="13">
        <f t="shared" si="15"/>
        <v>7.963099999999999E-3</v>
      </c>
      <c r="K217" s="9"/>
      <c r="L217" s="9"/>
      <c r="M217" s="9"/>
      <c r="N217" s="9"/>
    </row>
    <row r="218" spans="2:14" ht="38.1" customHeight="1">
      <c r="B218" s="15" t="str">
        <f>Tarifas!B18</f>
        <v>WHOY-AM (Salinas)</v>
      </c>
      <c r="C218" s="15" t="str">
        <f>Tarifas!C18</f>
        <v>ROS 7 a. m.–5 p. m.</v>
      </c>
      <c r="D218" s="38">
        <f>Tarifas!E18</f>
        <v>28.52</v>
      </c>
      <c r="E218" s="39">
        <f>E185/$D$185</f>
        <v>8.5910607974021289</v>
      </c>
      <c r="F218" s="39">
        <f>F185/$D$185</f>
        <v>10.738829755246858</v>
      </c>
      <c r="G218" s="39">
        <f>G185/$D$185</f>
        <v>8.5910607974021289</v>
      </c>
      <c r="H218" s="39">
        <f t="shared" si="13"/>
        <v>27.920951350051116</v>
      </c>
      <c r="I218" s="16">
        <f t="shared" si="14"/>
        <v>796.31</v>
      </c>
      <c r="J218" s="18">
        <f t="shared" si="15"/>
        <v>7.963099999999999E-3</v>
      </c>
      <c r="K218" s="14"/>
      <c r="L218" s="14"/>
      <c r="M218" s="14"/>
      <c r="N218" s="14"/>
    </row>
    <row r="219" spans="2:14" ht="38.1" customHeight="1">
      <c r="B219" s="10" t="str">
        <f>Tarifas!B19</f>
        <v>WGDL-AM/FM (Lares/Aguadilla)</v>
      </c>
      <c r="C219" s="10" t="str">
        <f>Tarifas!C19</f>
        <v>ROS 7 a. m.–5 p. m.</v>
      </c>
      <c r="D219" s="36">
        <f>Tarifas!E19</f>
        <v>45.08</v>
      </c>
      <c r="E219" s="37">
        <f>E185/$D$185</f>
        <v>8.5910607974021289</v>
      </c>
      <c r="F219" s="37">
        <f>F185/$D$185</f>
        <v>10.738829755246858</v>
      </c>
      <c r="G219" s="37">
        <f>G185/$D$185</f>
        <v>8.5910607974021289</v>
      </c>
      <c r="H219" s="37">
        <f t="shared" si="13"/>
        <v>27.920951350051116</v>
      </c>
      <c r="I219" s="11">
        <f t="shared" si="14"/>
        <v>1258.68</v>
      </c>
      <c r="J219" s="13">
        <f t="shared" si="15"/>
        <v>1.25868E-2</v>
      </c>
      <c r="K219" s="9"/>
      <c r="L219" s="9"/>
      <c r="M219" s="9"/>
      <c r="N219" s="9"/>
    </row>
    <row r="220" spans="2:14" ht="38.1" customHeight="1">
      <c r="B220" s="15" t="str">
        <f>Tarifas!B20</f>
        <v>WPRA-AM (Mayaguez)</v>
      </c>
      <c r="C220" s="15" t="str">
        <f>Tarifas!C20</f>
        <v>ROS 7 a. m.–5 p. m.</v>
      </c>
      <c r="D220" s="38">
        <f>Tarifas!E20</f>
        <v>28.52</v>
      </c>
      <c r="E220" s="39">
        <f>E185/$D$185</f>
        <v>8.5910607974021289</v>
      </c>
      <c r="F220" s="39">
        <f>F185/$D$185</f>
        <v>10.738829755246858</v>
      </c>
      <c r="G220" s="39">
        <f>G185/$D$185</f>
        <v>8.5910607974021289</v>
      </c>
      <c r="H220" s="39">
        <f t="shared" si="13"/>
        <v>27.920951350051116</v>
      </c>
      <c r="I220" s="16">
        <f t="shared" si="14"/>
        <v>796.31</v>
      </c>
      <c r="J220" s="18">
        <f t="shared" si="15"/>
        <v>7.963099999999999E-3</v>
      </c>
      <c r="K220" s="14"/>
      <c r="L220" s="14"/>
      <c r="M220" s="14"/>
      <c r="N220" s="14"/>
    </row>
    <row r="221" spans="2:14" ht="38.1" customHeight="1">
      <c r="B221" s="10" t="str">
        <f>Tarifas!B21</f>
        <v>WISA-AM (Isabela)</v>
      </c>
      <c r="C221" s="10" t="str">
        <f>Tarifas!C21</f>
        <v>ROS 7 a. m.–5 p. m.</v>
      </c>
      <c r="D221" s="36">
        <f>Tarifas!E21</f>
        <v>28.52</v>
      </c>
      <c r="E221" s="37">
        <f>E185/$D$185</f>
        <v>8.5910607974021289</v>
      </c>
      <c r="F221" s="37">
        <f>F185/$D$185</f>
        <v>10.738829755246858</v>
      </c>
      <c r="G221" s="37">
        <f>G185/$D$185</f>
        <v>8.5910607974021289</v>
      </c>
      <c r="H221" s="37">
        <f t="shared" si="13"/>
        <v>27.920951350051116</v>
      </c>
      <c r="I221" s="11">
        <f t="shared" si="14"/>
        <v>796.31</v>
      </c>
      <c r="J221" s="13">
        <f t="shared" si="15"/>
        <v>7.963099999999999E-3</v>
      </c>
      <c r="K221" s="9"/>
      <c r="L221" s="9"/>
      <c r="M221" s="9"/>
      <c r="N221" s="9"/>
    </row>
    <row r="222" spans="2:14" ht="38.1" customHeight="1">
      <c r="B222" s="15" t="str">
        <f>Tarifas!B22</f>
        <v xml:space="preserve">Auspicios: $1,075,000 pendientes de con con el RFP. No están sumados al escenario de $3,763,000. </v>
      </c>
      <c r="C222" s="15" t="str">
        <f>Tarifas!C22</f>
        <v>ROS 7 a. m.–5 p. m.</v>
      </c>
      <c r="D222" s="38">
        <f>Tarifas!E22</f>
        <v>28.52</v>
      </c>
      <c r="E222" s="39">
        <f>E185/$D$185</f>
        <v>8.5910607974021289</v>
      </c>
      <c r="F222" s="39">
        <f>F185/$D$185</f>
        <v>10.738829755246858</v>
      </c>
      <c r="G222" s="39">
        <f>G185/$D$185</f>
        <v>8.5910607974021289</v>
      </c>
      <c r="H222" s="39">
        <f t="shared" si="13"/>
        <v>27.920951350051116</v>
      </c>
      <c r="I222" s="16">
        <f t="shared" si="14"/>
        <v>796.31</v>
      </c>
      <c r="J222" s="18">
        <f t="shared" si="15"/>
        <v>7.963099999999999E-3</v>
      </c>
      <c r="K222" s="14"/>
      <c r="L222" s="14"/>
      <c r="M222" s="14"/>
      <c r="N222" s="14"/>
    </row>
    <row r="223" spans="2:14" ht="38.1" customHeight="1">
      <c r="B223" s="10" t="str">
        <f>Tarifas!B23</f>
        <v>WCPR-AM (Coamo)</v>
      </c>
      <c r="C223" s="10" t="str">
        <f>Tarifas!C23</f>
        <v>ROS 7 a. m.–5 p. m.</v>
      </c>
      <c r="D223" s="36">
        <f>Tarifas!E23</f>
        <v>28.52</v>
      </c>
      <c r="E223" s="37">
        <f>E185/$D$185</f>
        <v>8.5910607974021289</v>
      </c>
      <c r="F223" s="37">
        <f>F185/$D$185</f>
        <v>10.738829755246858</v>
      </c>
      <c r="G223" s="37">
        <f>G185/$D$185</f>
        <v>8.5910607974021289</v>
      </c>
      <c r="H223" s="37">
        <f t="shared" si="13"/>
        <v>27.920951350051116</v>
      </c>
      <c r="I223" s="11">
        <f t="shared" si="14"/>
        <v>796.31</v>
      </c>
      <c r="J223" s="13">
        <f t="shared" si="15"/>
        <v>7.963099999999999E-3</v>
      </c>
      <c r="K223" s="9"/>
      <c r="L223" s="9"/>
      <c r="M223" s="9"/>
      <c r="N223" s="9"/>
    </row>
    <row r="224" spans="2:14" ht="38.1" customHeight="1">
      <c r="B224" s="15" t="str">
        <f>Tarifas!B24</f>
        <v>WLPR-AM (SanSebastian)</v>
      </c>
      <c r="C224" s="15" t="str">
        <f>Tarifas!C24</f>
        <v>ROS 7 a. m.–5 p. m.</v>
      </c>
      <c r="D224" s="38">
        <f>Tarifas!E24</f>
        <v>28.52</v>
      </c>
      <c r="E224" s="39">
        <f>E185/$D$185</f>
        <v>8.5910607974021289</v>
      </c>
      <c r="F224" s="39">
        <f>F185/$D$185</f>
        <v>10.738829755246858</v>
      </c>
      <c r="G224" s="39">
        <f>G185/$D$185</f>
        <v>8.5910607974021289</v>
      </c>
      <c r="H224" s="39">
        <f t="shared" si="13"/>
        <v>27.920951350051116</v>
      </c>
      <c r="I224" s="16">
        <f t="shared" si="14"/>
        <v>796.31</v>
      </c>
      <c r="J224" s="18">
        <f t="shared" si="15"/>
        <v>7.963099999999999E-3</v>
      </c>
      <c r="K224" s="14"/>
      <c r="L224" s="14"/>
      <c r="M224" s="14"/>
      <c r="N224" s="14"/>
    </row>
    <row r="225" spans="2:14" ht="38.1" customHeight="1">
      <c r="B225" s="10" t="str">
        <f>Tarifas!B25</f>
        <v xml:space="preserve">Entregas estimadas con tarifas de referencia. </v>
      </c>
      <c r="C225" s="10" t="str">
        <f>Tarifas!C25</f>
        <v>ROS 7 a. m.–5 p. m.</v>
      </c>
      <c r="D225" s="36">
        <f>Tarifas!E25</f>
        <v>28.52</v>
      </c>
      <c r="E225" s="37">
        <f>E185/$D$185</f>
        <v>8.5910607974021289</v>
      </c>
      <c r="F225" s="37">
        <f>F185/$D$185</f>
        <v>10.738829755246858</v>
      </c>
      <c r="G225" s="37">
        <f>G185/$D$185</f>
        <v>8.5910607974021289</v>
      </c>
      <c r="H225" s="37">
        <f t="shared" si="13"/>
        <v>27.920951350051116</v>
      </c>
      <c r="I225" s="11">
        <f t="shared" si="14"/>
        <v>796.31</v>
      </c>
      <c r="J225" s="13">
        <f t="shared" si="15"/>
        <v>7.963099999999999E-3</v>
      </c>
      <c r="K225" s="9"/>
      <c r="L225" s="9"/>
      <c r="M225" s="9"/>
      <c r="N225" s="9"/>
    </row>
    <row r="226" spans="2:14" ht="38.1" customHeight="1">
      <c r="B226" s="15" t="str">
        <f>Tarifas!B26</f>
        <v>WENA-AM (Yauco)</v>
      </c>
      <c r="C226" s="15" t="str">
        <f>Tarifas!C26</f>
        <v>ROS 7 a. m.–5 p. m.</v>
      </c>
      <c r="D226" s="38">
        <f>Tarifas!E26</f>
        <v>28.52</v>
      </c>
      <c r="E226" s="39">
        <f>E185/$D$185</f>
        <v>8.5910607974021289</v>
      </c>
      <c r="F226" s="39">
        <f>F185/$D$185</f>
        <v>10.738829755246858</v>
      </c>
      <c r="G226" s="39">
        <f>G185/$D$185</f>
        <v>8.5910607974021289</v>
      </c>
      <c r="H226" s="39">
        <f t="shared" si="13"/>
        <v>27.920951350051116</v>
      </c>
      <c r="I226" s="16">
        <f t="shared" si="14"/>
        <v>796.31</v>
      </c>
      <c r="J226" s="18">
        <f t="shared" si="15"/>
        <v>7.963099999999999E-3</v>
      </c>
      <c r="K226" s="14"/>
      <c r="L226" s="14"/>
      <c r="M226" s="14"/>
      <c r="N226" s="14"/>
    </row>
    <row r="227" spans="2:14" ht="38.1" customHeight="1">
      <c r="B227" s="10" t="str">
        <f>Tarifas!B27</f>
        <v>SuperK 106Fm (Arecibo)</v>
      </c>
      <c r="C227" s="10" t="str">
        <f>Tarifas!C27</f>
        <v>ROS 7 a. m.–5 p. m.</v>
      </c>
      <c r="D227" s="36">
        <f>Tarifas!E27</f>
        <v>69</v>
      </c>
      <c r="E227" s="37">
        <f>E185/$D$185</f>
        <v>8.5910607974021289</v>
      </c>
      <c r="F227" s="37">
        <f>F185/$D$185</f>
        <v>10.738829755246858</v>
      </c>
      <c r="G227" s="37">
        <f>G185/$D$185</f>
        <v>8.5910607974021289</v>
      </c>
      <c r="H227" s="37">
        <f t="shared" si="13"/>
        <v>27.920951350051116</v>
      </c>
      <c r="I227" s="11">
        <f t="shared" si="14"/>
        <v>1926.55</v>
      </c>
      <c r="J227" s="13">
        <f t="shared" si="15"/>
        <v>1.9265499999999998E-2</v>
      </c>
      <c r="K227" s="9"/>
      <c r="L227" s="9"/>
      <c r="M227" s="9"/>
      <c r="N227" s="9"/>
    </row>
    <row r="228" spans="2:14" ht="38.1" customHeight="1">
      <c r="B228" s="15" t="str">
        <f>Tarifas!B28</f>
        <v>Radio Grito (Lares)-Hora del Grito 12md</v>
      </c>
      <c r="C228" s="15" t="s">
        <v>99</v>
      </c>
      <c r="D228" s="38">
        <f>Tarifas!E28</f>
        <v>27.6</v>
      </c>
      <c r="E228" s="39">
        <f>E185/$D$185</f>
        <v>8.5910607974021289</v>
      </c>
      <c r="F228" s="39">
        <f>F185/$D$185</f>
        <v>10.738829755246858</v>
      </c>
      <c r="G228" s="39">
        <f>G185/$D$185</f>
        <v>8.5910607974021289</v>
      </c>
      <c r="H228" s="39">
        <f t="shared" si="13"/>
        <v>27.920951350051116</v>
      </c>
      <c r="I228" s="16">
        <f t="shared" si="14"/>
        <v>770.62</v>
      </c>
      <c r="J228" s="18">
        <f t="shared" si="15"/>
        <v>7.7061999999999999E-3</v>
      </c>
      <c r="K228" s="14"/>
      <c r="L228" s="14"/>
      <c r="M228" s="14"/>
      <c r="N228" s="14"/>
    </row>
    <row r="229" spans="2:14" ht="38.1" customHeight="1">
      <c r="B229" s="10" t="str">
        <f>Tarifas!B29</f>
        <v>NotiUno (NORTE)-La Hornilla &amp; John Alma-Spots</v>
      </c>
      <c r="C229" s="10" t="s">
        <v>100</v>
      </c>
      <c r="D229" s="36">
        <f>Tarifas!E29</f>
        <v>50.6</v>
      </c>
      <c r="E229" s="37">
        <f>E185/$D$185</f>
        <v>8.5910607974021289</v>
      </c>
      <c r="F229" s="37">
        <f>F185/$D$185</f>
        <v>10.738829755246858</v>
      </c>
      <c r="G229" s="37">
        <f>G185/$D$185</f>
        <v>8.5910607974021289</v>
      </c>
      <c r="H229" s="37">
        <f t="shared" si="13"/>
        <v>27.920951350051116</v>
      </c>
      <c r="I229" s="11">
        <f t="shared" si="14"/>
        <v>1412.8</v>
      </c>
      <c r="J229" s="13">
        <f t="shared" si="15"/>
        <v>1.4128E-2</v>
      </c>
      <c r="K229" s="9"/>
      <c r="L229" s="9"/>
      <c r="M229" s="9"/>
      <c r="N229" s="9"/>
    </row>
    <row r="230" spans="2:14" ht="38.1" customHeight="1">
      <c r="B230" s="15" t="str">
        <f>Tarifas!B30</f>
        <v>NotiUno (SUR-Ponce) ROS</v>
      </c>
      <c r="C230" s="15" t="str">
        <f>Tarifas!C30</f>
        <v>ROS 7 a. m.–5 p. m.</v>
      </c>
      <c r="D230" s="38">
        <f>Tarifas!E30</f>
        <v>50.6</v>
      </c>
      <c r="E230" s="39">
        <f>E185/$D$185</f>
        <v>8.5910607974021289</v>
      </c>
      <c r="F230" s="39">
        <f>F185/$D$185</f>
        <v>10.738829755246858</v>
      </c>
      <c r="G230" s="39">
        <f>G185/$D$185</f>
        <v>8.5910607974021289</v>
      </c>
      <c r="H230" s="39">
        <f t="shared" si="13"/>
        <v>27.920951350051116</v>
      </c>
      <c r="I230" s="16">
        <f>ROUND(I185-SUM(I213:I229),2)</f>
        <v>1412.75</v>
      </c>
      <c r="J230" s="18">
        <f t="shared" si="15"/>
        <v>1.4127499999999999E-2</v>
      </c>
      <c r="K230" s="14"/>
      <c r="L230" s="14"/>
      <c r="M230" s="14"/>
      <c r="N230" s="14"/>
    </row>
    <row r="231" spans="2:14" ht="30" customHeight="1">
      <c r="B231" s="19" t="s">
        <v>101</v>
      </c>
      <c r="C231" s="19"/>
      <c r="D231" s="19"/>
      <c r="E231" s="19"/>
      <c r="F231" s="19"/>
      <c r="G231" s="19"/>
      <c r="H231" s="19"/>
      <c r="I231" s="20">
        <f>SUM(I213:I230)</f>
        <v>18571.899999999998</v>
      </c>
      <c r="J231" s="19"/>
      <c r="K231" s="19"/>
      <c r="L231" s="19"/>
      <c r="M231" s="19"/>
      <c r="N231" s="19"/>
    </row>
    <row r="232" spans="2:14" ht="24.95" customHeight="1">
      <c r="B232" s="47" t="s">
        <v>42</v>
      </c>
      <c r="C232" s="47"/>
      <c r="D232" s="47"/>
      <c r="E232" s="47"/>
      <c r="F232" s="47"/>
      <c r="G232" s="47"/>
      <c r="H232" s="47"/>
      <c r="I232" s="47"/>
      <c r="J232" s="47"/>
      <c r="K232" s="47"/>
      <c r="L232" s="47"/>
      <c r="M232" s="47"/>
      <c r="N232" s="47"/>
    </row>
    <row r="233" spans="2:14" ht="38.1" customHeight="1">
      <c r="B233" s="10" t="str">
        <f>Tarifas!B31</f>
        <v>Planet</v>
      </c>
      <c r="C233" s="10" t="str">
        <f>Tarifas!C31</f>
        <v>10 puntos × 5 días</v>
      </c>
      <c r="D233" s="36">
        <f>Tarifas!E31</f>
        <v>5980</v>
      </c>
      <c r="E233" s="37">
        <f>E186/$D$186</f>
        <v>0.42955305564001217</v>
      </c>
      <c r="F233" s="37">
        <f>F186/$D$186</f>
        <v>0.42955305564001217</v>
      </c>
      <c r="G233" s="37">
        <f>G186/$D$186</f>
        <v>0.21477652782000609</v>
      </c>
      <c r="H233" s="37">
        <f>SUM(E233:G233)</f>
        <v>1.0738826391000305</v>
      </c>
      <c r="I233" s="11">
        <f>ROUND(H233*D233,2)</f>
        <v>6421.82</v>
      </c>
      <c r="J233" s="13">
        <f>I233/$C$181</f>
        <v>6.4218200000000003E-2</v>
      </c>
      <c r="K233" s="9"/>
      <c r="L233" s="9"/>
      <c r="M233" s="9"/>
      <c r="N233" s="9"/>
    </row>
    <row r="234" spans="2:14" ht="38.1" customHeight="1">
      <c r="B234" s="15" t="str">
        <f>Tarifas!B32</f>
        <v>BMedia</v>
      </c>
      <c r="C234" s="15" t="str">
        <f>Tarifas!C32</f>
        <v>7 puntos × 5 días</v>
      </c>
      <c r="D234" s="38">
        <f>Tarifas!E32</f>
        <v>4025</v>
      </c>
      <c r="E234" s="39">
        <f>E186/$D$186</f>
        <v>0.42955305564001217</v>
      </c>
      <c r="F234" s="39">
        <f>F186/$D$186</f>
        <v>0.42955305564001217</v>
      </c>
      <c r="G234" s="39">
        <f>G186/$D$186</f>
        <v>0.21477652782000609</v>
      </c>
      <c r="H234" s="39">
        <f>SUM(E234:G234)</f>
        <v>1.0738826391000305</v>
      </c>
      <c r="I234" s="16">
        <f>ROUND(H234*D234,2)</f>
        <v>4322.38</v>
      </c>
      <c r="J234" s="18">
        <f>I234/$C$181</f>
        <v>4.32238E-2</v>
      </c>
      <c r="K234" s="14"/>
      <c r="L234" s="14"/>
      <c r="M234" s="14"/>
      <c r="N234" s="14"/>
    </row>
    <row r="235" spans="2:14" ht="38.1" customHeight="1">
      <c r="B235" s="10" t="s">
        <v>166</v>
      </c>
      <c r="C235" s="10" t="str">
        <f>Tarifas!C33</f>
        <v>5 puntos × 5 días</v>
      </c>
      <c r="D235" s="36">
        <f>Tarifas!E33</f>
        <v>2300</v>
      </c>
      <c r="E235" s="37">
        <f>E186/$D$186</f>
        <v>0.42955305564001217</v>
      </c>
      <c r="F235" s="37">
        <f>F186/$D$186</f>
        <v>0.42955305564001217</v>
      </c>
      <c r="G235" s="37">
        <f>G186/$D$186</f>
        <v>0.21477652782000609</v>
      </c>
      <c r="H235" s="37">
        <f>SUM(E235:G235)</f>
        <v>1.0738826391000305</v>
      </c>
      <c r="I235" s="11">
        <f>ROUND(H235*D235,2)</f>
        <v>2469.9299999999998</v>
      </c>
      <c r="J235" s="13">
        <f>I235/$C$181</f>
        <v>2.4699299999999997E-2</v>
      </c>
      <c r="K235" s="9"/>
      <c r="L235" s="9"/>
      <c r="M235" s="9"/>
      <c r="N235" s="9"/>
    </row>
    <row r="236" spans="2:14" ht="38.1" customHeight="1">
      <c r="B236" s="15" t="str">
        <f>Tarifas!B34</f>
        <v>Yes</v>
      </c>
      <c r="C236" s="15" t="str">
        <f>Tarifas!C34</f>
        <v>6 puntos × 5 días</v>
      </c>
      <c r="D236" s="38">
        <f>Tarifas!E34</f>
        <v>4140</v>
      </c>
      <c r="E236" s="39">
        <f>E186/$D$186</f>
        <v>0.42955305564001217</v>
      </c>
      <c r="F236" s="39">
        <f>F186/$D$186</f>
        <v>0.42955305564001217</v>
      </c>
      <c r="G236" s="39">
        <f>G186/$D$186</f>
        <v>0.21477652782000609</v>
      </c>
      <c r="H236" s="39">
        <f>SUM(E236:G236)</f>
        <v>1.0738826391000305</v>
      </c>
      <c r="I236" s="16">
        <f>ROUND(I186-SUM(I233:I235),2)</f>
        <v>4445.87</v>
      </c>
      <c r="J236" s="18">
        <f>I236/$C$181</f>
        <v>4.4458699999999997E-2</v>
      </c>
      <c r="K236" s="14"/>
      <c r="L236" s="14"/>
      <c r="M236" s="14"/>
      <c r="N236" s="14"/>
    </row>
    <row r="237" spans="2:14" ht="30" customHeight="1">
      <c r="B237" s="19" t="s">
        <v>123</v>
      </c>
      <c r="C237" s="19"/>
      <c r="D237" s="19"/>
      <c r="E237" s="19"/>
      <c r="F237" s="19"/>
      <c r="G237" s="19"/>
      <c r="H237" s="19"/>
      <c r="I237" s="20">
        <f>SUM(I233:I236)</f>
        <v>17660</v>
      </c>
      <c r="J237" s="19"/>
      <c r="K237" s="19"/>
      <c r="L237" s="19"/>
      <c r="M237" s="19"/>
      <c r="N237" s="19"/>
    </row>
    <row r="238" spans="2:14" ht="27.95" customHeight="1">
      <c r="B238" s="45" t="s">
        <v>124</v>
      </c>
      <c r="C238" s="45"/>
      <c r="D238" s="45"/>
      <c r="E238" s="45"/>
      <c r="F238" s="45"/>
      <c r="G238" s="45"/>
      <c r="H238" s="45"/>
      <c r="I238" s="45"/>
      <c r="J238" s="45"/>
      <c r="K238" s="45"/>
      <c r="L238" s="45"/>
      <c r="M238" s="45"/>
      <c r="N238" s="45"/>
    </row>
    <row r="239" spans="2:14" ht="24.95" customHeight="1">
      <c r="B239" s="47" t="s">
        <v>43</v>
      </c>
      <c r="C239" s="47"/>
      <c r="D239" s="47"/>
      <c r="E239" s="47"/>
      <c r="F239" s="47"/>
      <c r="G239" s="47"/>
      <c r="H239" s="47"/>
      <c r="I239" s="47"/>
      <c r="J239" s="47"/>
      <c r="K239" s="47"/>
      <c r="L239" s="47"/>
      <c r="M239" s="47"/>
      <c r="N239" s="47"/>
    </row>
    <row r="240" spans="2:14" ht="38.1" customHeight="1">
      <c r="B240" s="10" t="str">
        <f>Tarifas!B35</f>
        <v>Meta</v>
      </c>
      <c r="C240" s="10" t="str">
        <f>Tarifas!C35</f>
        <v>Video / Reels / Stories</v>
      </c>
      <c r="D240" s="36">
        <f>Tarifas!E35</f>
        <v>8.625</v>
      </c>
      <c r="E240" s="40">
        <f>ROUNDDOWN(E187/$D240*1000,0)</f>
        <v>569210</v>
      </c>
      <c r="F240" s="40">
        <f>ROUNDDOWN(F187/$D240*1000,0)</f>
        <v>1254308</v>
      </c>
      <c r="G240" s="40">
        <f>ROUNDDOWN(G187/$D240*1000,0)</f>
        <v>978717</v>
      </c>
      <c r="H240" s="40">
        <f>SUM(E240:G240)</f>
        <v>2802235</v>
      </c>
      <c r="I240" s="11">
        <f>I187</f>
        <v>24169.29</v>
      </c>
      <c r="J240" s="13">
        <f>I240/$C$181</f>
        <v>0.24169290000000002</v>
      </c>
      <c r="K240" s="9"/>
      <c r="L240" s="9"/>
      <c r="M240" s="9"/>
      <c r="N240" s="9"/>
    </row>
    <row r="241" spans="2:14" ht="30" customHeight="1">
      <c r="B241" s="19" t="s">
        <v>102</v>
      </c>
      <c r="C241" s="19"/>
      <c r="D241" s="19"/>
      <c r="E241" s="19"/>
      <c r="F241" s="19"/>
      <c r="G241" s="19"/>
      <c r="H241" s="19"/>
      <c r="I241" s="20">
        <f>SUM(I240:I240)</f>
        <v>24169.29</v>
      </c>
      <c r="J241" s="19"/>
      <c r="K241" s="19"/>
      <c r="L241" s="19"/>
      <c r="M241" s="19"/>
      <c r="N241" s="19"/>
    </row>
    <row r="242" spans="2:14" ht="24.95" customHeight="1">
      <c r="B242" s="47" t="s">
        <v>45</v>
      </c>
      <c r="C242" s="47"/>
      <c r="D242" s="47"/>
      <c r="E242" s="47"/>
      <c r="F242" s="47"/>
      <c r="G242" s="47"/>
      <c r="H242" s="47"/>
      <c r="I242" s="47"/>
      <c r="J242" s="47"/>
      <c r="K242" s="47"/>
      <c r="L242" s="47"/>
      <c r="M242" s="47"/>
      <c r="N242" s="47"/>
    </row>
    <row r="243" spans="2:14" ht="38.1" customHeight="1">
      <c r="B243" s="10" t="str">
        <f>Tarifas!B37</f>
        <v>Programática</v>
      </c>
      <c r="C243" s="10" t="str">
        <f>Tarifas!C37</f>
        <v>Display premium local</v>
      </c>
      <c r="D243" s="36">
        <f>Tarifas!E37</f>
        <v>9.1999999999999993</v>
      </c>
      <c r="E243" s="40">
        <f>ROUNDDOWN(E188/$D243*1000,0)</f>
        <v>163043</v>
      </c>
      <c r="F243" s="40">
        <f>ROUNDDOWN(F188/$D243*1000,0)</f>
        <v>217391</v>
      </c>
      <c r="G243" s="40">
        <f>ROUNDDOWN(G188/$D243*1000,0)</f>
        <v>163045</v>
      </c>
      <c r="H243" s="40">
        <f>SUM(E243:G243)</f>
        <v>543479</v>
      </c>
      <c r="I243" s="11">
        <f>I188</f>
        <v>5000.0200000000004</v>
      </c>
      <c r="J243" s="13">
        <f>I243/$C$181</f>
        <v>5.0000200000000002E-2</v>
      </c>
      <c r="K243" s="9"/>
      <c r="L243" s="9"/>
      <c r="M243" s="9"/>
      <c r="N243" s="9"/>
    </row>
    <row r="244" spans="2:14" ht="30" customHeight="1">
      <c r="B244" s="19" t="s">
        <v>150</v>
      </c>
      <c r="C244" s="19"/>
      <c r="D244" s="19"/>
      <c r="E244" s="19"/>
      <c r="F244" s="19"/>
      <c r="G244" s="19"/>
      <c r="H244" s="19"/>
      <c r="I244" s="20">
        <f>SUM(I243:I243)</f>
        <v>5000.0200000000004</v>
      </c>
      <c r="J244" s="19"/>
      <c r="K244" s="19"/>
      <c r="L244" s="19"/>
      <c r="M244" s="19"/>
      <c r="N244" s="19"/>
    </row>
    <row r="246" spans="2:14" ht="24.95" customHeight="1">
      <c r="B246" s="47" t="s">
        <v>136</v>
      </c>
      <c r="C246" s="47"/>
      <c r="D246" s="47"/>
      <c r="E246" s="47"/>
      <c r="F246" s="47"/>
      <c r="G246" s="47"/>
      <c r="H246" s="47"/>
      <c r="I246" s="47"/>
      <c r="J246" s="47"/>
      <c r="K246" s="47"/>
      <c r="L246" s="47"/>
      <c r="M246" s="47"/>
      <c r="N246" s="47"/>
    </row>
    <row r="247" spans="2:14" ht="42" customHeight="1">
      <c r="B247" s="6" t="s">
        <v>38</v>
      </c>
      <c r="C247" s="7" t="s">
        <v>137</v>
      </c>
      <c r="D247" s="7" t="s">
        <v>138</v>
      </c>
      <c r="E247" s="7" t="s">
        <v>139</v>
      </c>
      <c r="F247" s="50" t="s">
        <v>140</v>
      </c>
      <c r="G247" s="51"/>
      <c r="H247" s="51"/>
      <c r="I247" s="51"/>
      <c r="J247" s="51"/>
      <c r="K247" s="51"/>
      <c r="L247" s="51"/>
      <c r="M247" s="51"/>
      <c r="N247" s="51"/>
    </row>
    <row r="248" spans="2:14" ht="60" customHeight="1">
      <c r="B248" s="10" t="s">
        <v>8</v>
      </c>
      <c r="C248" s="10" t="s">
        <v>141</v>
      </c>
      <c r="D248" s="10" t="s">
        <v>141</v>
      </c>
      <c r="E248" s="43" t="s">
        <v>141</v>
      </c>
      <c r="F248" s="48" t="s">
        <v>142</v>
      </c>
      <c r="G248" s="48"/>
      <c r="H248" s="48"/>
      <c r="I248" s="48"/>
      <c r="J248" s="48"/>
      <c r="K248" s="48"/>
      <c r="L248" s="48"/>
      <c r="M248" s="48"/>
      <c r="N248" s="48"/>
    </row>
    <row r="249" spans="2:14" ht="60" customHeight="1">
      <c r="B249" s="15" t="s">
        <v>41</v>
      </c>
      <c r="C249" s="15" t="s">
        <v>141</v>
      </c>
      <c r="D249" s="15" t="s">
        <v>141</v>
      </c>
      <c r="E249" s="44" t="s">
        <v>141</v>
      </c>
      <c r="F249" s="49" t="s">
        <v>143</v>
      </c>
      <c r="G249" s="49"/>
      <c r="H249" s="49"/>
      <c r="I249" s="49"/>
      <c r="J249" s="49"/>
      <c r="K249" s="49"/>
      <c r="L249" s="49"/>
      <c r="M249" s="49"/>
      <c r="N249" s="49"/>
    </row>
    <row r="250" spans="2:14" ht="60" customHeight="1">
      <c r="B250" s="10" t="s">
        <v>42</v>
      </c>
      <c r="C250" s="10" t="s">
        <v>141</v>
      </c>
      <c r="D250" s="10" t="s">
        <v>141</v>
      </c>
      <c r="E250" s="43" t="s">
        <v>141</v>
      </c>
      <c r="F250" s="48" t="s">
        <v>167</v>
      </c>
      <c r="G250" s="48"/>
      <c r="H250" s="48"/>
      <c r="I250" s="48"/>
      <c r="J250" s="48"/>
      <c r="K250" s="48"/>
      <c r="L250" s="48"/>
      <c r="M250" s="48"/>
      <c r="N250" s="48"/>
    </row>
    <row r="251" spans="2:14" ht="60" customHeight="1">
      <c r="B251" s="15" t="s">
        <v>43</v>
      </c>
      <c r="C251" s="15" t="s">
        <v>141</v>
      </c>
      <c r="D251" s="15" t="s">
        <v>141</v>
      </c>
      <c r="E251" s="44">
        <f>H187</f>
        <v>2802235</v>
      </c>
      <c r="F251" s="49" t="s">
        <v>144</v>
      </c>
      <c r="G251" s="49"/>
      <c r="H251" s="49"/>
      <c r="I251" s="49"/>
      <c r="J251" s="49"/>
      <c r="K251" s="49"/>
      <c r="L251" s="49"/>
      <c r="M251" s="49"/>
      <c r="N251" s="49"/>
    </row>
    <row r="252" spans="2:14" ht="60" customHeight="1">
      <c r="B252" s="10" t="s">
        <v>45</v>
      </c>
      <c r="C252" s="10" t="s">
        <v>141</v>
      </c>
      <c r="D252" s="10" t="s">
        <v>141</v>
      </c>
      <c r="E252" s="43">
        <f>H188</f>
        <v>543479</v>
      </c>
      <c r="F252" s="48" t="s">
        <v>144</v>
      </c>
      <c r="G252" s="48"/>
      <c r="H252" s="48"/>
      <c r="I252" s="48"/>
      <c r="J252" s="48"/>
      <c r="K252" s="48"/>
      <c r="L252" s="48"/>
      <c r="M252" s="48"/>
      <c r="N252" s="48"/>
    </row>
    <row r="256" spans="2:14" ht="24.95" customHeight="1">
      <c r="B256" s="47" t="s">
        <v>175</v>
      </c>
      <c r="C256" s="47"/>
      <c r="D256" s="47"/>
      <c r="E256" s="47"/>
      <c r="F256" s="47"/>
      <c r="G256" s="47"/>
      <c r="H256" s="47"/>
      <c r="I256" s="47"/>
      <c r="J256" s="47"/>
      <c r="K256" s="47"/>
      <c r="L256" s="47"/>
      <c r="M256" s="47"/>
      <c r="N256" s="47"/>
    </row>
    <row r="257" spans="2:14" ht="32.1" customHeight="1">
      <c r="B257" s="45" t="s">
        <v>176</v>
      </c>
      <c r="C257" s="45"/>
      <c r="D257" s="45"/>
      <c r="E257" s="45"/>
      <c r="F257" s="45"/>
      <c r="G257" s="45"/>
      <c r="H257" s="45"/>
      <c r="I257" s="45"/>
      <c r="J257" s="45"/>
      <c r="K257" s="45"/>
      <c r="L257" s="45"/>
      <c r="M257" s="45"/>
      <c r="N257" s="45"/>
    </row>
    <row r="258" spans="2:14" ht="32.1" customHeight="1">
      <c r="B258" s="45" t="s">
        <v>177</v>
      </c>
      <c r="C258" s="45"/>
      <c r="D258" s="45"/>
      <c r="E258" s="45"/>
      <c r="F258" s="45"/>
      <c r="G258" s="45"/>
      <c r="H258" s="45"/>
      <c r="I258" s="45"/>
      <c r="J258" s="45"/>
      <c r="K258" s="45"/>
      <c r="L258" s="45"/>
      <c r="M258" s="45"/>
      <c r="N258" s="45"/>
    </row>
    <row r="259" spans="2:14" ht="33.950000000000003" customHeight="1">
      <c r="B259" s="45" t="s">
        <v>178</v>
      </c>
      <c r="C259" s="45"/>
      <c r="D259" s="45"/>
      <c r="E259" s="45"/>
      <c r="F259" s="45"/>
      <c r="G259" s="45"/>
      <c r="H259" s="45"/>
      <c r="I259" s="45"/>
      <c r="J259" s="45"/>
      <c r="K259" s="45"/>
      <c r="L259" s="45"/>
      <c r="M259" s="45"/>
      <c r="N259" s="45"/>
    </row>
    <row r="260" spans="2:14">
      <c r="B260" s="2" t="s">
        <v>61</v>
      </c>
      <c r="C260" s="35">
        <f>'AGA y criterios'!D36</f>
        <v>100000</v>
      </c>
    </row>
    <row r="262" spans="2:14" ht="42" customHeight="1">
      <c r="B262" s="6" t="s">
        <v>38</v>
      </c>
      <c r="C262" s="7" t="s">
        <v>63</v>
      </c>
      <c r="D262" s="7" t="s">
        <v>64</v>
      </c>
      <c r="E262" s="7" t="s">
        <v>135</v>
      </c>
      <c r="F262" s="7" t="s">
        <v>70</v>
      </c>
      <c r="G262" s="7" t="s">
        <v>72</v>
      </c>
      <c r="H262" s="7" t="s">
        <v>2</v>
      </c>
      <c r="I262" s="8" t="s">
        <v>13</v>
      </c>
    </row>
    <row r="263" spans="2:14" ht="30.95" customHeight="1">
      <c r="B263" s="10" t="s">
        <v>8</v>
      </c>
      <c r="C263" s="10" t="s">
        <v>73</v>
      </c>
      <c r="D263" s="36">
        <f>SUM(Tarifas!E7:E12)</f>
        <v>10068.25</v>
      </c>
      <c r="E263" s="11">
        <f>ROUND($C$260*('Base de distribución'!E129/SUM('Base de distribución'!E129,'Base de distribución'!E130,'Base de distribución'!E131,'Base de distribución'!E132,'Base de distribución'!E133,'Base de distribución'!E134,'Base de distribución'!E135,'Base de distribución'!E136,'Base de distribución'!E137,'Base de distribución'!E138)),2)</f>
        <v>8649.7000000000007</v>
      </c>
      <c r="F263" s="11">
        <f>ROUND($C$260*('Base de distribución'!E130/SUM('Base de distribución'!E129,'Base de distribución'!E130,'Base de distribución'!E131,'Base de distribución'!E132,'Base de distribución'!E133,'Base de distribución'!E134,'Base de distribución'!E135,'Base de distribución'!E136,'Base de distribución'!E137,'Base de distribución'!E138)),2)</f>
        <v>4324.8500000000004</v>
      </c>
      <c r="G263" s="37">
        <f>SUM(G284:G289)</f>
        <v>7.7319593772502673</v>
      </c>
      <c r="H263" s="11">
        <f>SUM(E263:F263)</f>
        <v>12974.550000000001</v>
      </c>
      <c r="I263" s="13">
        <f>H263/$C$260</f>
        <v>0.12974550000000001</v>
      </c>
      <c r="J263" s="9"/>
      <c r="K263" s="9"/>
      <c r="L263" s="9"/>
      <c r="M263" s="9"/>
      <c r="N263" s="9"/>
    </row>
    <row r="264" spans="2:14" ht="30.95" customHeight="1">
      <c r="B264" s="15" t="s">
        <v>43</v>
      </c>
      <c r="C264" s="15" t="s">
        <v>75</v>
      </c>
      <c r="D264" s="38">
        <f>Tarifas!E35</f>
        <v>8.625</v>
      </c>
      <c r="E264" s="16">
        <f>ROUND($C$260*('Base de distribución'!E131/SUM('Base de distribución'!E129,'Base de distribución'!E130,'Base de distribución'!E131,'Base de distribución'!E132,'Base de distribución'!E133,'Base de distribución'!E134,'Base de distribución'!E135,'Base de distribución'!E136,'Base de distribución'!E137,'Base de distribución'!E138)),2)</f>
        <v>26970.58</v>
      </c>
      <c r="F264" s="16">
        <f>ROUND($C$260*('Base de distribución'!E132/SUM('Base de distribución'!E129,'Base de distribución'!E130,'Base de distribución'!E131,'Base de distribución'!E132,'Base de distribución'!E133,'Base de distribución'!E134,'Base de distribución'!E135,'Base de distribución'!E136,'Base de distribución'!E137,'Base de distribución'!E138)),2)</f>
        <v>10235.290000000001</v>
      </c>
      <c r="G264" s="41">
        <f>SUM(G292:G292)</f>
        <v>4313723</v>
      </c>
      <c r="H264" s="16">
        <f>SUM(E264:F264)</f>
        <v>37205.870000000003</v>
      </c>
      <c r="I264" s="18">
        <f>H264/$C$260</f>
        <v>0.37205870000000002</v>
      </c>
      <c r="J264" s="14"/>
      <c r="K264" s="14"/>
      <c r="L264" s="14"/>
      <c r="M264" s="14"/>
      <c r="N264" s="14"/>
    </row>
    <row r="265" spans="2:14" ht="30.95" customHeight="1">
      <c r="B265" s="10" t="s">
        <v>44</v>
      </c>
      <c r="C265" s="10" t="s">
        <v>75</v>
      </c>
      <c r="D265" s="36">
        <f>Tarifas!E36</f>
        <v>6.9</v>
      </c>
      <c r="E265" s="11">
        <f>ROUND($C$260*('Base de distribución'!E133/SUM('Base de distribución'!E129,'Base de distribución'!E130,'Base de distribución'!E131,'Base de distribución'!E132,'Base de distribución'!E133,'Base de distribución'!E134,'Base de distribución'!E135,'Base de distribución'!E136,'Base de distribución'!E137,'Base de distribución'!E138)),2)</f>
        <v>17500</v>
      </c>
      <c r="F265" s="11">
        <f>ROUND($C$260*('Base de distribución'!E134/SUM('Base de distribución'!E129,'Base de distribución'!E130,'Base de distribución'!E131,'Base de distribución'!E132,'Base de distribución'!E133,'Base de distribución'!E134,'Base de distribución'!E135,'Base de distribución'!E136,'Base de distribución'!E137,'Base de distribución'!E138)),2)</f>
        <v>7500</v>
      </c>
      <c r="G265" s="40">
        <f>SUM(G295:G295)</f>
        <v>3623187</v>
      </c>
      <c r="H265" s="11">
        <f>SUM(E265:F265)</f>
        <v>25000</v>
      </c>
      <c r="I265" s="13">
        <f>H265/$C$260</f>
        <v>0.25</v>
      </c>
      <c r="J265" s="9"/>
      <c r="K265" s="9"/>
      <c r="L265" s="9"/>
      <c r="M265" s="9"/>
      <c r="N265" s="9"/>
    </row>
    <row r="266" spans="2:14" ht="30.95" customHeight="1">
      <c r="B266" s="15" t="s">
        <v>45</v>
      </c>
      <c r="C266" s="15" t="s">
        <v>75</v>
      </c>
      <c r="D266" s="38">
        <f>Tarifas!E37</f>
        <v>9.1999999999999993</v>
      </c>
      <c r="E266" s="16">
        <f>ROUND($C$260*('Base de distribución'!E135/SUM('Base de distribución'!E129,'Base de distribución'!E130,'Base de distribución'!E131,'Base de distribución'!E132,'Base de distribución'!E133,'Base de distribución'!E134,'Base de distribución'!E135,'Base de distribución'!E136,'Base de distribución'!E137,'Base de distribución'!E138)),2)</f>
        <v>7000</v>
      </c>
      <c r="F266" s="16">
        <f>ROUND($C$260*('Base de distribución'!E136/SUM('Base de distribución'!E129,'Base de distribución'!E130,'Base de distribución'!E131,'Base de distribución'!E132,'Base de distribución'!E133,'Base de distribución'!E134,'Base de distribución'!E135,'Base de distribución'!E136,'Base de distribución'!E137,'Base de distribución'!E138)),2)</f>
        <v>3000</v>
      </c>
      <c r="G266" s="41">
        <f>SUM(G298:G298)</f>
        <v>1086955</v>
      </c>
      <c r="H266" s="16">
        <f>SUM(E266:F266)</f>
        <v>10000</v>
      </c>
      <c r="I266" s="18">
        <f>H266/$C$260</f>
        <v>0.1</v>
      </c>
      <c r="J266" s="14"/>
      <c r="K266" s="14"/>
      <c r="L266" s="14"/>
      <c r="M266" s="14"/>
      <c r="N266" s="14"/>
    </row>
    <row r="267" spans="2:14" ht="30.95" customHeight="1">
      <c r="B267" s="10" t="s">
        <v>47</v>
      </c>
      <c r="C267" s="10" t="s">
        <v>77</v>
      </c>
      <c r="D267" s="36">
        <f>Tarifas!E39</f>
        <v>2875</v>
      </c>
      <c r="E267" s="11">
        <f>ROUND($C$260*('Base de distribución'!E137/SUM('Base de distribución'!E129,'Base de distribución'!E130,'Base de distribución'!E131,'Base de distribución'!E132,'Base de distribución'!E133,'Base de distribución'!E134,'Base de distribución'!E135,'Base de distribución'!E136,'Base de distribución'!E137,'Base de distribución'!E138)),2)</f>
        <v>9879.73</v>
      </c>
      <c r="F267" s="11">
        <f>ROUND($C$260-SUM(E263:F263,E264:F264,E265:F265,E266:F266,E267:E267),2)</f>
        <v>4939.8500000000004</v>
      </c>
      <c r="G267" s="37">
        <f>G301*Tarifas!F39</f>
        <v>15.46390956521739</v>
      </c>
      <c r="H267" s="11">
        <f>SUM(E267:F267)</f>
        <v>14819.58</v>
      </c>
      <c r="I267" s="13">
        <f>H267/$C$260</f>
        <v>0.14819579999999999</v>
      </c>
      <c r="J267" s="9"/>
      <c r="K267" s="9"/>
      <c r="L267" s="9"/>
      <c r="M267" s="9"/>
      <c r="N267" s="9"/>
    </row>
    <row r="268" spans="2:14" ht="30" customHeight="1">
      <c r="B268" s="19" t="s">
        <v>78</v>
      </c>
      <c r="C268" s="19"/>
      <c r="D268" s="19"/>
      <c r="E268" s="20">
        <f>SUM(E263:E267)</f>
        <v>70000.009999999995</v>
      </c>
      <c r="F268" s="20">
        <f>SUM(F263:F267)</f>
        <v>29999.989999999998</v>
      </c>
      <c r="G268" s="19"/>
      <c r="H268" s="20">
        <f>SUM(H263:H267)</f>
        <v>100000.00000000001</v>
      </c>
      <c r="I268" s="22">
        <f>SUM(I263:I267)</f>
        <v>1</v>
      </c>
      <c r="J268" s="19"/>
      <c r="K268" s="19"/>
      <c r="L268" s="19"/>
      <c r="M268" s="19"/>
      <c r="N268" s="19"/>
    </row>
    <row r="269" spans="2:14">
      <c r="B269" s="2" t="s">
        <v>79</v>
      </c>
      <c r="C269" s="42">
        <f>ROUND(C260-H268,2)</f>
        <v>0</v>
      </c>
    </row>
    <row r="270" spans="2:14" ht="32.1" customHeight="1">
      <c r="B270" s="45" t="s">
        <v>80</v>
      </c>
      <c r="C270" s="45"/>
      <c r="D270" s="45"/>
      <c r="E270" s="45"/>
      <c r="F270" s="45"/>
      <c r="G270" s="45"/>
      <c r="H270" s="45"/>
      <c r="I270" s="45"/>
      <c r="J270" s="45"/>
      <c r="K270" s="45"/>
      <c r="L270" s="45"/>
      <c r="M270" s="45"/>
      <c r="N270" s="45"/>
    </row>
    <row r="271" spans="2:14" ht="32.1" customHeight="1">
      <c r="B271" s="45" t="s">
        <v>81</v>
      </c>
      <c r="C271" s="45"/>
      <c r="D271" s="45"/>
      <c r="E271" s="45"/>
      <c r="F271" s="45"/>
      <c r="G271" s="45"/>
      <c r="H271" s="45"/>
      <c r="I271" s="45"/>
      <c r="J271" s="45"/>
      <c r="K271" s="45"/>
      <c r="L271" s="45"/>
      <c r="M271" s="45"/>
      <c r="N271" s="45"/>
    </row>
    <row r="273" spans="2:14" ht="24.95" customHeight="1">
      <c r="B273" s="47" t="s">
        <v>82</v>
      </c>
      <c r="C273" s="47"/>
      <c r="D273" s="47"/>
      <c r="E273" s="47"/>
      <c r="F273" s="47"/>
      <c r="G273" s="47"/>
      <c r="H273" s="47"/>
      <c r="I273" s="47"/>
      <c r="J273" s="47"/>
      <c r="K273" s="47"/>
      <c r="L273" s="47"/>
      <c r="M273" s="47"/>
      <c r="N273" s="47"/>
    </row>
    <row r="274" spans="2:14" ht="42" customHeight="1">
      <c r="B274" s="6" t="s">
        <v>38</v>
      </c>
      <c r="C274" s="7" t="s">
        <v>83</v>
      </c>
      <c r="D274" s="7" t="s">
        <v>84</v>
      </c>
      <c r="E274" s="7" t="s">
        <v>135</v>
      </c>
      <c r="F274" s="8" t="s">
        <v>70</v>
      </c>
    </row>
    <row r="275" spans="2:14" ht="44.1" customHeight="1">
      <c r="B275" s="10" t="s">
        <v>8</v>
      </c>
      <c r="C275" s="10" t="s">
        <v>85</v>
      </c>
      <c r="D275" s="10" t="s">
        <v>86</v>
      </c>
      <c r="E275" s="9" t="s">
        <v>135</v>
      </c>
      <c r="F275" s="9" t="s">
        <v>70</v>
      </c>
      <c r="G275" s="9"/>
      <c r="H275" s="9"/>
      <c r="I275" s="9"/>
      <c r="J275" s="9"/>
      <c r="K275" s="9"/>
      <c r="L275" s="9"/>
      <c r="M275" s="9"/>
      <c r="N275" s="9"/>
    </row>
    <row r="276" spans="2:14" ht="44.1" customHeight="1">
      <c r="B276" s="15" t="s">
        <v>43</v>
      </c>
      <c r="C276" s="15" t="s">
        <v>89</v>
      </c>
      <c r="D276" s="15" t="s">
        <v>86</v>
      </c>
      <c r="E276" s="14" t="s">
        <v>135</v>
      </c>
      <c r="F276" s="14" t="s">
        <v>70</v>
      </c>
      <c r="G276" s="14"/>
      <c r="H276" s="14"/>
      <c r="I276" s="14"/>
      <c r="J276" s="14"/>
      <c r="K276" s="14"/>
      <c r="L276" s="14"/>
      <c r="M276" s="14"/>
      <c r="N276" s="14"/>
    </row>
    <row r="277" spans="2:14" ht="44.1" customHeight="1">
      <c r="B277" s="10" t="s">
        <v>44</v>
      </c>
      <c r="C277" s="10" t="s">
        <v>90</v>
      </c>
      <c r="D277" s="10" t="s">
        <v>86</v>
      </c>
      <c r="E277" s="9" t="s">
        <v>135</v>
      </c>
      <c r="F277" s="9" t="s">
        <v>70</v>
      </c>
      <c r="G277" s="9"/>
      <c r="H277" s="9"/>
      <c r="I277" s="9"/>
      <c r="J277" s="9"/>
      <c r="K277" s="9"/>
      <c r="L277" s="9"/>
      <c r="M277" s="9"/>
      <c r="N277" s="9"/>
    </row>
    <row r="278" spans="2:14" ht="44.1" customHeight="1">
      <c r="B278" s="15" t="s">
        <v>45</v>
      </c>
      <c r="C278" s="15" t="s">
        <v>149</v>
      </c>
      <c r="D278" s="15" t="s">
        <v>86</v>
      </c>
      <c r="E278" s="14" t="s">
        <v>135</v>
      </c>
      <c r="F278" s="14" t="s">
        <v>70</v>
      </c>
      <c r="G278" s="14"/>
      <c r="H278" s="14"/>
      <c r="I278" s="14"/>
      <c r="J278" s="14"/>
      <c r="K278" s="14"/>
      <c r="L278" s="14"/>
      <c r="M278" s="14"/>
      <c r="N278" s="14"/>
    </row>
    <row r="279" spans="2:14" ht="44.1" customHeight="1">
      <c r="B279" s="10" t="s">
        <v>47</v>
      </c>
      <c r="C279" s="10" t="s">
        <v>92</v>
      </c>
      <c r="D279" s="10" t="s">
        <v>86</v>
      </c>
      <c r="E279" s="9" t="s">
        <v>135</v>
      </c>
      <c r="F279" s="9" t="s">
        <v>70</v>
      </c>
      <c r="G279" s="9"/>
      <c r="H279" s="9"/>
      <c r="I279" s="9"/>
      <c r="J279" s="9"/>
      <c r="K279" s="9"/>
      <c r="L279" s="9"/>
      <c r="M279" s="9"/>
      <c r="N279" s="9"/>
    </row>
    <row r="281" spans="2:14" ht="24.95" customHeight="1">
      <c r="B281" s="47" t="s">
        <v>93</v>
      </c>
      <c r="C281" s="47"/>
      <c r="D281" s="47"/>
      <c r="E281" s="47"/>
      <c r="F281" s="47"/>
      <c r="G281" s="47"/>
      <c r="H281" s="47"/>
      <c r="I281" s="47"/>
      <c r="J281" s="47"/>
      <c r="K281" s="47"/>
      <c r="L281" s="47"/>
      <c r="M281" s="47"/>
      <c r="N281" s="47"/>
    </row>
    <row r="282" spans="2:14" ht="42" customHeight="1">
      <c r="B282" s="6" t="s">
        <v>94</v>
      </c>
      <c r="C282" s="7" t="s">
        <v>95</v>
      </c>
      <c r="D282" s="7" t="s">
        <v>64</v>
      </c>
      <c r="E282" s="7" t="s">
        <v>135</v>
      </c>
      <c r="F282" s="7" t="s">
        <v>70</v>
      </c>
      <c r="G282" s="7" t="s">
        <v>96</v>
      </c>
      <c r="H282" s="7" t="s">
        <v>2</v>
      </c>
      <c r="I282" s="8" t="s">
        <v>97</v>
      </c>
    </row>
    <row r="283" spans="2:14" ht="24.95" customHeight="1">
      <c r="B283" s="47" t="s">
        <v>8</v>
      </c>
      <c r="C283" s="47"/>
      <c r="D283" s="47"/>
      <c r="E283" s="47"/>
      <c r="F283" s="47"/>
      <c r="G283" s="47"/>
      <c r="H283" s="47"/>
      <c r="I283" s="47"/>
      <c r="J283" s="47"/>
      <c r="K283" s="47"/>
      <c r="L283" s="47"/>
      <c r="M283" s="47"/>
      <c r="N283" s="47"/>
    </row>
    <row r="284" spans="2:14" ht="38.1" customHeight="1">
      <c r="B284" s="10" t="str">
        <f>Tarifas!B7</f>
        <v>Telemundo</v>
      </c>
      <c r="C284" s="10" t="str">
        <f>Tarifas!C7</f>
        <v>Dia a Dia</v>
      </c>
      <c r="D284" s="36">
        <f>Tarifas!E7</f>
        <v>782</v>
      </c>
      <c r="E284" s="37">
        <f>E263/$D$263</f>
        <v>0.85910659747225193</v>
      </c>
      <c r="F284" s="37">
        <f>F263/$D$263</f>
        <v>0.42955329873612597</v>
      </c>
      <c r="G284" s="37">
        <f t="shared" ref="G284:G289" si="16">SUM(E284:F284)</f>
        <v>1.288659896208378</v>
      </c>
      <c r="H284" s="11">
        <f>ROUND(G284*D284,2)</f>
        <v>1007.73</v>
      </c>
      <c r="I284" s="13">
        <f t="shared" ref="I284:I289" si="17">H284/$C$260</f>
        <v>1.0077300000000001E-2</v>
      </c>
      <c r="J284" s="9"/>
      <c r="K284" s="9"/>
      <c r="L284" s="9"/>
      <c r="M284" s="9"/>
      <c r="N284" s="9"/>
    </row>
    <row r="285" spans="2:14" ht="38.1" customHeight="1">
      <c r="B285" s="15" t="str">
        <f>Tarifas!B8</f>
        <v>Telemundo</v>
      </c>
      <c r="C285" s="15" t="str">
        <f>Tarifas!C8</f>
        <v>PR Gana 6pm (M,W,T,f,Su)</v>
      </c>
      <c r="D285" s="38">
        <f>Tarifas!E8</f>
        <v>2541.5</v>
      </c>
      <c r="E285" s="39">
        <f>E263/$D$263</f>
        <v>0.85910659747225193</v>
      </c>
      <c r="F285" s="39">
        <f>F263/$D$263</f>
        <v>0.42955329873612597</v>
      </c>
      <c r="G285" s="39">
        <f t="shared" si="16"/>
        <v>1.288659896208378</v>
      </c>
      <c r="H285" s="16">
        <f>ROUND(G285*D285,2)</f>
        <v>3275.13</v>
      </c>
      <c r="I285" s="18">
        <f t="shared" si="17"/>
        <v>3.2751300000000004E-2</v>
      </c>
      <c r="J285" s="14"/>
      <c r="K285" s="14"/>
      <c r="L285" s="14"/>
      <c r="M285" s="14"/>
      <c r="N285" s="14"/>
    </row>
    <row r="286" spans="2:14" ht="38.1" customHeight="1">
      <c r="B286" s="10" t="str">
        <f>Tarifas!B9</f>
        <v>WAPA</v>
      </c>
      <c r="C286" s="10" t="str">
        <f>Tarifas!C9</f>
        <v>Pegate al MedioDIa</v>
      </c>
      <c r="D286" s="36">
        <f>Tarifas!E9</f>
        <v>977.5</v>
      </c>
      <c r="E286" s="37">
        <f>E263/$D$263</f>
        <v>0.85910659747225193</v>
      </c>
      <c r="F286" s="37">
        <f>F263/$D$263</f>
        <v>0.42955329873612597</v>
      </c>
      <c r="G286" s="37">
        <f t="shared" si="16"/>
        <v>1.288659896208378</v>
      </c>
      <c r="H286" s="11">
        <f>ROUND(G286*D286,2)</f>
        <v>1259.67</v>
      </c>
      <c r="I286" s="13">
        <f t="shared" si="17"/>
        <v>1.2596700000000001E-2</v>
      </c>
      <c r="J286" s="9"/>
      <c r="K286" s="9"/>
      <c r="L286" s="9"/>
      <c r="M286" s="9"/>
      <c r="N286" s="9"/>
    </row>
    <row r="287" spans="2:14" ht="38.1" customHeight="1">
      <c r="B287" s="15" t="str">
        <f>Tarifas!B10</f>
        <v>WAPA</v>
      </c>
      <c r="C287" s="15" t="str">
        <f>Tarifas!C10</f>
        <v>Reality-Funcion Estelar 7p</v>
      </c>
      <c r="D287" s="38">
        <f>Tarifas!E10</f>
        <v>3519</v>
      </c>
      <c r="E287" s="39">
        <f>E263/$D$263</f>
        <v>0.85910659747225193</v>
      </c>
      <c r="F287" s="39">
        <f>F263/$D$263</f>
        <v>0.42955329873612597</v>
      </c>
      <c r="G287" s="39">
        <f t="shared" si="16"/>
        <v>1.288659896208378</v>
      </c>
      <c r="H287" s="16">
        <f>ROUND(G287*D287,2)</f>
        <v>4534.79</v>
      </c>
      <c r="I287" s="18">
        <f t="shared" si="17"/>
        <v>4.5347899999999997E-2</v>
      </c>
      <c r="J287" s="14"/>
      <c r="K287" s="14"/>
      <c r="L287" s="14"/>
      <c r="M287" s="14"/>
      <c r="N287" s="14"/>
    </row>
    <row r="288" spans="2:14" ht="38.1" customHeight="1">
      <c r="B288" s="10" t="str">
        <f>Tarifas!B11</f>
        <v>TeleOnce</v>
      </c>
      <c r="C288" s="10" t="str">
        <f>Tarifas!C11</f>
        <v>PR en Vivo</v>
      </c>
      <c r="D288" s="36">
        <f>Tarifas!E11</f>
        <v>586.5</v>
      </c>
      <c r="E288" s="37">
        <f>E263/$D$263</f>
        <v>0.85910659747225193</v>
      </c>
      <c r="F288" s="37">
        <f>F263/$D$263</f>
        <v>0.42955329873612597</v>
      </c>
      <c r="G288" s="37">
        <f t="shared" si="16"/>
        <v>1.288659896208378</v>
      </c>
      <c r="H288" s="11">
        <f>ROUND(G288*D288,2)</f>
        <v>755.8</v>
      </c>
      <c r="I288" s="13">
        <f t="shared" si="17"/>
        <v>7.5579999999999996E-3</v>
      </c>
      <c r="J288" s="9"/>
      <c r="K288" s="9"/>
      <c r="L288" s="9"/>
      <c r="M288" s="9"/>
      <c r="N288" s="9"/>
    </row>
    <row r="289" spans="2:14" ht="38.1" customHeight="1">
      <c r="B289" s="15" t="str">
        <f>Tarifas!B12</f>
        <v>TeleOnce</v>
      </c>
      <c r="C289" s="15" t="str">
        <f>Tarifas!C12</f>
        <v>Las Noticias Prime</v>
      </c>
      <c r="D289" s="38">
        <f>Tarifas!E12</f>
        <v>1661.75</v>
      </c>
      <c r="E289" s="39">
        <f>E263/$D$263</f>
        <v>0.85910659747225193</v>
      </c>
      <c r="F289" s="39">
        <f>F263/$D$263</f>
        <v>0.42955329873612597</v>
      </c>
      <c r="G289" s="39">
        <f t="shared" si="16"/>
        <v>1.288659896208378</v>
      </c>
      <c r="H289" s="16">
        <f>ROUND(H263-SUM(H284:H288),2)</f>
        <v>2141.4299999999998</v>
      </c>
      <c r="I289" s="18">
        <f t="shared" si="17"/>
        <v>2.1414299999999997E-2</v>
      </c>
      <c r="J289" s="14"/>
      <c r="K289" s="14"/>
      <c r="L289" s="14"/>
      <c r="M289" s="14"/>
      <c r="N289" s="14"/>
    </row>
    <row r="290" spans="2:14" ht="30" customHeight="1">
      <c r="B290" s="19" t="s">
        <v>98</v>
      </c>
      <c r="C290" s="19"/>
      <c r="D290" s="19"/>
      <c r="E290" s="19"/>
      <c r="F290" s="19"/>
      <c r="G290" s="19"/>
      <c r="H290" s="20">
        <f>SUM(H284:H289)</f>
        <v>12974.55</v>
      </c>
      <c r="I290" s="19"/>
      <c r="J290" s="19"/>
      <c r="K290" s="19"/>
      <c r="L290" s="19"/>
      <c r="M290" s="19"/>
      <c r="N290" s="19"/>
    </row>
    <row r="291" spans="2:14" ht="24.95" customHeight="1">
      <c r="B291" s="47" t="s">
        <v>43</v>
      </c>
      <c r="C291" s="47"/>
      <c r="D291" s="47"/>
      <c r="E291" s="47"/>
      <c r="F291" s="47"/>
      <c r="G291" s="47"/>
      <c r="H291" s="47"/>
      <c r="I291" s="47"/>
      <c r="J291" s="47"/>
      <c r="K291" s="47"/>
      <c r="L291" s="47"/>
      <c r="M291" s="47"/>
      <c r="N291" s="47"/>
    </row>
    <row r="292" spans="2:14" ht="38.1" customHeight="1">
      <c r="B292" s="10" t="str">
        <f>Tarifas!B35</f>
        <v>Meta</v>
      </c>
      <c r="C292" s="10" t="str">
        <f>Tarifas!C35</f>
        <v>Video / Reels / Stories</v>
      </c>
      <c r="D292" s="36">
        <f>Tarifas!E35</f>
        <v>8.625</v>
      </c>
      <c r="E292" s="40">
        <f>ROUNDDOWN(E264/$D292*1000,0)</f>
        <v>3127023</v>
      </c>
      <c r="F292" s="40">
        <f>ROUNDDOWN(F264/$D292*1000,0)</f>
        <v>1186700</v>
      </c>
      <c r="G292" s="40">
        <f>SUM(E292:F292)</f>
        <v>4313723</v>
      </c>
      <c r="H292" s="11">
        <f>H264</f>
        <v>37205.870000000003</v>
      </c>
      <c r="I292" s="13">
        <f>H292/$C$260</f>
        <v>0.37205870000000002</v>
      </c>
      <c r="J292" s="9"/>
      <c r="K292" s="9"/>
      <c r="L292" s="9"/>
      <c r="M292" s="9"/>
      <c r="N292" s="9"/>
    </row>
    <row r="293" spans="2:14" ht="30" customHeight="1">
      <c r="B293" s="19" t="s">
        <v>102</v>
      </c>
      <c r="C293" s="19"/>
      <c r="D293" s="19"/>
      <c r="E293" s="19"/>
      <c r="F293" s="19"/>
      <c r="G293" s="19"/>
      <c r="H293" s="20">
        <f>SUM(H292:H292)</f>
        <v>37205.870000000003</v>
      </c>
      <c r="I293" s="19"/>
      <c r="J293" s="19"/>
      <c r="K293" s="19"/>
      <c r="L293" s="19"/>
      <c r="M293" s="19"/>
      <c r="N293" s="19"/>
    </row>
    <row r="294" spans="2:14" ht="24.95" customHeight="1">
      <c r="B294" s="47" t="s">
        <v>44</v>
      </c>
      <c r="C294" s="47"/>
      <c r="D294" s="47"/>
      <c r="E294" s="47"/>
      <c r="F294" s="47"/>
      <c r="G294" s="47"/>
      <c r="H294" s="47"/>
      <c r="I294" s="47"/>
      <c r="J294" s="47"/>
      <c r="K294" s="47"/>
      <c r="L294" s="47"/>
      <c r="M294" s="47"/>
      <c r="N294" s="47"/>
    </row>
    <row r="295" spans="2:14" ht="38.1" customHeight="1">
      <c r="B295" s="10" t="str">
        <f>Tarifas!B36</f>
        <v>YouTube</v>
      </c>
      <c r="C295" s="10" t="str">
        <f>Tarifas!C36</f>
        <v>Video 15–30 s</v>
      </c>
      <c r="D295" s="36">
        <f>Tarifas!E36</f>
        <v>6.9</v>
      </c>
      <c r="E295" s="40">
        <f>ROUNDDOWN(E265/$D295*1000,0)</f>
        <v>2536231</v>
      </c>
      <c r="F295" s="40">
        <f>ROUNDDOWN(F265/$D295*1000,0)</f>
        <v>1086956</v>
      </c>
      <c r="G295" s="40">
        <f>SUM(E295:F295)</f>
        <v>3623187</v>
      </c>
      <c r="H295" s="11">
        <f>H265</f>
        <v>25000</v>
      </c>
      <c r="I295" s="13">
        <f>H295/$C$260</f>
        <v>0.25</v>
      </c>
      <c r="J295" s="9"/>
      <c r="K295" s="9"/>
      <c r="L295" s="9"/>
      <c r="M295" s="9"/>
      <c r="N295" s="9"/>
    </row>
    <row r="296" spans="2:14" ht="30" customHeight="1">
      <c r="B296" s="19" t="s">
        <v>103</v>
      </c>
      <c r="C296" s="19"/>
      <c r="D296" s="19"/>
      <c r="E296" s="19"/>
      <c r="F296" s="19"/>
      <c r="G296" s="19"/>
      <c r="H296" s="20">
        <f>SUM(H295:H295)</f>
        <v>25000</v>
      </c>
      <c r="I296" s="19"/>
      <c r="J296" s="19"/>
      <c r="K296" s="19"/>
      <c r="L296" s="19"/>
      <c r="M296" s="19"/>
      <c r="N296" s="19"/>
    </row>
    <row r="297" spans="2:14" ht="24.95" customHeight="1">
      <c r="B297" s="47" t="s">
        <v>45</v>
      </c>
      <c r="C297" s="47"/>
      <c r="D297" s="47"/>
      <c r="E297" s="47"/>
      <c r="F297" s="47"/>
      <c r="G297" s="47"/>
      <c r="H297" s="47"/>
      <c r="I297" s="47"/>
      <c r="J297" s="47"/>
      <c r="K297" s="47"/>
      <c r="L297" s="47"/>
      <c r="M297" s="47"/>
      <c r="N297" s="47"/>
    </row>
    <row r="298" spans="2:14" ht="38.1" customHeight="1">
      <c r="B298" s="10" t="str">
        <f>Tarifas!B37</f>
        <v>Programática</v>
      </c>
      <c r="C298" s="10" t="str">
        <f>Tarifas!C37</f>
        <v>Display premium local</v>
      </c>
      <c r="D298" s="36">
        <f>Tarifas!E37</f>
        <v>9.1999999999999993</v>
      </c>
      <c r="E298" s="40">
        <f>ROUNDDOWN(E266/$D298*1000,0)</f>
        <v>760869</v>
      </c>
      <c r="F298" s="40">
        <f>ROUNDDOWN(F266/$D298*1000,0)</f>
        <v>326086</v>
      </c>
      <c r="G298" s="40">
        <f>SUM(E298:F298)</f>
        <v>1086955</v>
      </c>
      <c r="H298" s="11">
        <f>H266</f>
        <v>10000</v>
      </c>
      <c r="I298" s="13">
        <f>H298/$C$260</f>
        <v>0.1</v>
      </c>
      <c r="J298" s="9"/>
      <c r="K298" s="9"/>
      <c r="L298" s="9"/>
      <c r="M298" s="9"/>
      <c r="N298" s="9"/>
    </row>
    <row r="299" spans="2:14" ht="30" customHeight="1">
      <c r="B299" s="19" t="s">
        <v>150</v>
      </c>
      <c r="C299" s="19"/>
      <c r="D299" s="19"/>
      <c r="E299" s="19"/>
      <c r="F299" s="19"/>
      <c r="G299" s="19"/>
      <c r="H299" s="20">
        <f>SUM(H298:H298)</f>
        <v>10000</v>
      </c>
      <c r="I299" s="19"/>
      <c r="J299" s="19"/>
      <c r="K299" s="19"/>
      <c r="L299" s="19"/>
      <c r="M299" s="19"/>
      <c r="N299" s="19"/>
    </row>
    <row r="300" spans="2:14" ht="24.95" customHeight="1">
      <c r="B300" s="47" t="s">
        <v>47</v>
      </c>
      <c r="C300" s="47"/>
      <c r="D300" s="47"/>
      <c r="E300" s="47"/>
      <c r="F300" s="47"/>
      <c r="G300" s="47"/>
      <c r="H300" s="47"/>
      <c r="I300" s="47"/>
      <c r="J300" s="47"/>
      <c r="K300" s="47"/>
      <c r="L300" s="47"/>
      <c r="M300" s="47"/>
      <c r="N300" s="47"/>
    </row>
    <row r="301" spans="2:14" ht="38.1" customHeight="1">
      <c r="B301" s="10" t="str">
        <f>Tarifas!B39</f>
        <v>Creadores e integraciones</v>
      </c>
      <c r="C301" s="10" t="str">
        <f>Tarifas!C39</f>
        <v>1 video + 2 Stories</v>
      </c>
      <c r="D301" s="36">
        <f>Tarifas!E39</f>
        <v>2875</v>
      </c>
      <c r="E301" s="37">
        <f>E267/$D$267</f>
        <v>3.4364278260869563</v>
      </c>
      <c r="F301" s="37">
        <f>F267/$D$267</f>
        <v>1.718208695652174</v>
      </c>
      <c r="G301" s="37">
        <f>SUM(E301:F301)</f>
        <v>5.1546365217391301</v>
      </c>
      <c r="H301" s="11">
        <f>H267</f>
        <v>14819.58</v>
      </c>
      <c r="I301" s="13">
        <f>H301/$C$260</f>
        <v>0.14819579999999999</v>
      </c>
      <c r="J301" s="9"/>
      <c r="K301" s="9"/>
      <c r="L301" s="9"/>
      <c r="M301" s="9"/>
      <c r="N301" s="9"/>
    </row>
    <row r="302" spans="2:14" ht="30" customHeight="1">
      <c r="B302" s="19" t="s">
        <v>105</v>
      </c>
      <c r="C302" s="19"/>
      <c r="D302" s="19"/>
      <c r="E302" s="19"/>
      <c r="F302" s="19"/>
      <c r="G302" s="19"/>
      <c r="H302" s="20">
        <f>SUM(H301:H301)</f>
        <v>14819.58</v>
      </c>
      <c r="I302" s="19"/>
      <c r="J302" s="19"/>
      <c r="K302" s="19"/>
      <c r="L302" s="19"/>
      <c r="M302" s="19"/>
      <c r="N302" s="19"/>
    </row>
    <row r="303" spans="2:14" ht="27.95" customHeight="1">
      <c r="B303" s="45" t="s">
        <v>106</v>
      </c>
      <c r="C303" s="45"/>
      <c r="D303" s="45"/>
      <c r="E303" s="45"/>
      <c r="F303" s="45"/>
      <c r="G303" s="45"/>
      <c r="H303" s="45"/>
      <c r="I303" s="45"/>
      <c r="J303" s="45"/>
      <c r="K303" s="45"/>
      <c r="L303" s="45"/>
      <c r="M303" s="45"/>
      <c r="N303" s="45"/>
    </row>
    <row r="305" spans="2:14" ht="24.95" customHeight="1">
      <c r="B305" s="47" t="s">
        <v>136</v>
      </c>
      <c r="C305" s="47"/>
      <c r="D305" s="47"/>
      <c r="E305" s="47"/>
      <c r="F305" s="47"/>
      <c r="G305" s="47"/>
      <c r="H305" s="47"/>
      <c r="I305" s="47"/>
      <c r="J305" s="47"/>
      <c r="K305" s="47"/>
      <c r="L305" s="47"/>
      <c r="M305" s="47"/>
      <c r="N305" s="47"/>
    </row>
    <row r="306" spans="2:14" ht="42" customHeight="1">
      <c r="B306" s="6" t="s">
        <v>38</v>
      </c>
      <c r="C306" s="7" t="s">
        <v>137</v>
      </c>
      <c r="D306" s="7" t="s">
        <v>138</v>
      </c>
      <c r="E306" s="7" t="s">
        <v>139</v>
      </c>
      <c r="F306" s="50" t="s">
        <v>140</v>
      </c>
      <c r="G306" s="51"/>
      <c r="H306" s="51"/>
      <c r="I306" s="51"/>
      <c r="J306" s="51"/>
      <c r="K306" s="51"/>
      <c r="L306" s="51"/>
      <c r="M306" s="51"/>
      <c r="N306" s="51"/>
    </row>
    <row r="307" spans="2:14" ht="60" customHeight="1">
      <c r="B307" s="10" t="s">
        <v>8</v>
      </c>
      <c r="C307" s="10" t="s">
        <v>141</v>
      </c>
      <c r="D307" s="10" t="s">
        <v>141</v>
      </c>
      <c r="E307" s="43" t="s">
        <v>141</v>
      </c>
      <c r="F307" s="48" t="s">
        <v>142</v>
      </c>
      <c r="G307" s="48"/>
      <c r="H307" s="48"/>
      <c r="I307" s="48"/>
      <c r="J307" s="48"/>
      <c r="K307" s="48"/>
      <c r="L307" s="48"/>
      <c r="M307" s="48"/>
      <c r="N307" s="48"/>
    </row>
    <row r="308" spans="2:14" ht="60" customHeight="1">
      <c r="B308" s="15" t="s">
        <v>43</v>
      </c>
      <c r="C308" s="15" t="s">
        <v>141</v>
      </c>
      <c r="D308" s="15" t="s">
        <v>141</v>
      </c>
      <c r="E308" s="44">
        <f>G264</f>
        <v>4313723</v>
      </c>
      <c r="F308" s="49" t="s">
        <v>144</v>
      </c>
      <c r="G308" s="49"/>
      <c r="H308" s="49"/>
      <c r="I308" s="49"/>
      <c r="J308" s="49"/>
      <c r="K308" s="49"/>
      <c r="L308" s="49"/>
      <c r="M308" s="49"/>
      <c r="N308" s="49"/>
    </row>
    <row r="309" spans="2:14" ht="60" customHeight="1">
      <c r="B309" s="10" t="s">
        <v>44</v>
      </c>
      <c r="C309" s="10" t="s">
        <v>141</v>
      </c>
      <c r="D309" s="10" t="s">
        <v>141</v>
      </c>
      <c r="E309" s="43">
        <f>G265</f>
        <v>3623187</v>
      </c>
      <c r="F309" s="48" t="s">
        <v>144</v>
      </c>
      <c r="G309" s="48"/>
      <c r="H309" s="48"/>
      <c r="I309" s="48"/>
      <c r="J309" s="48"/>
      <c r="K309" s="48"/>
      <c r="L309" s="48"/>
      <c r="M309" s="48"/>
      <c r="N309" s="48"/>
    </row>
    <row r="310" spans="2:14" ht="60" customHeight="1">
      <c r="B310" s="15" t="s">
        <v>45</v>
      </c>
      <c r="C310" s="15" t="s">
        <v>141</v>
      </c>
      <c r="D310" s="15" t="s">
        <v>141</v>
      </c>
      <c r="E310" s="44">
        <f>G266</f>
        <v>1086955</v>
      </c>
      <c r="F310" s="49" t="s">
        <v>144</v>
      </c>
      <c r="G310" s="49"/>
      <c r="H310" s="49"/>
      <c r="I310" s="49"/>
      <c r="J310" s="49"/>
      <c r="K310" s="49"/>
      <c r="L310" s="49"/>
      <c r="M310" s="49"/>
      <c r="N310" s="49"/>
    </row>
    <row r="311" spans="2:14" ht="60" customHeight="1">
      <c r="B311" s="10" t="s">
        <v>47</v>
      </c>
      <c r="C311" s="10" t="s">
        <v>141</v>
      </c>
      <c r="D311" s="10" t="s">
        <v>141</v>
      </c>
      <c r="E311" s="43" t="s">
        <v>141</v>
      </c>
      <c r="F311" s="48" t="s">
        <v>151</v>
      </c>
      <c r="G311" s="48"/>
      <c r="H311" s="48"/>
      <c r="I311" s="48"/>
      <c r="J311" s="48"/>
      <c r="K311" s="48"/>
      <c r="L311" s="48"/>
      <c r="M311" s="48"/>
      <c r="N311" s="48"/>
    </row>
  </sheetData>
  <mergeCells count="87">
    <mergeCell ref="B2:O2"/>
    <mergeCell ref="B4:O4"/>
    <mergeCell ref="B8:O8"/>
    <mergeCell ref="B19:N19"/>
    <mergeCell ref="B20:N20"/>
    <mergeCell ref="B21:N21"/>
    <mergeCell ref="B22:N22"/>
    <mergeCell ref="B33:N33"/>
    <mergeCell ref="B34:N34"/>
    <mergeCell ref="B36:N36"/>
    <mergeCell ref="B44:N44"/>
    <mergeCell ref="B46:N46"/>
    <mergeCell ref="B54:N54"/>
    <mergeCell ref="B74:N74"/>
    <mergeCell ref="B80:N80"/>
    <mergeCell ref="B81:N81"/>
    <mergeCell ref="B84:N84"/>
    <mergeCell ref="B88:N88"/>
    <mergeCell ref="F89:N89"/>
    <mergeCell ref="F90:N90"/>
    <mergeCell ref="F91:N91"/>
    <mergeCell ref="F92:N92"/>
    <mergeCell ref="F93:N93"/>
    <mergeCell ref="F94:N94"/>
    <mergeCell ref="B98:N98"/>
    <mergeCell ref="B99:N99"/>
    <mergeCell ref="B100:N100"/>
    <mergeCell ref="B101:N101"/>
    <mergeCell ref="B112:N112"/>
    <mergeCell ref="B113:N113"/>
    <mergeCell ref="B115:N115"/>
    <mergeCell ref="B123:N123"/>
    <mergeCell ref="B125:N125"/>
    <mergeCell ref="B133:N133"/>
    <mergeCell ref="B153:N153"/>
    <mergeCell ref="B159:N159"/>
    <mergeCell ref="B160:N160"/>
    <mergeCell ref="B163:N163"/>
    <mergeCell ref="B167:N167"/>
    <mergeCell ref="F168:N168"/>
    <mergeCell ref="F169:N169"/>
    <mergeCell ref="F170:N170"/>
    <mergeCell ref="F171:N171"/>
    <mergeCell ref="F172:N172"/>
    <mergeCell ref="F173:N173"/>
    <mergeCell ref="B177:N177"/>
    <mergeCell ref="B178:N178"/>
    <mergeCell ref="B179:N179"/>
    <mergeCell ref="B180:N180"/>
    <mergeCell ref="B191:N191"/>
    <mergeCell ref="B192:N192"/>
    <mergeCell ref="B194:N194"/>
    <mergeCell ref="B202:N202"/>
    <mergeCell ref="B204:N204"/>
    <mergeCell ref="B212:N212"/>
    <mergeCell ref="B232:N232"/>
    <mergeCell ref="B238:N238"/>
    <mergeCell ref="B239:N239"/>
    <mergeCell ref="B242:N242"/>
    <mergeCell ref="B246:N246"/>
    <mergeCell ref="F247:N247"/>
    <mergeCell ref="F248:N248"/>
    <mergeCell ref="F249:N249"/>
    <mergeCell ref="F250:N250"/>
    <mergeCell ref="F251:N251"/>
    <mergeCell ref="F252:N252"/>
    <mergeCell ref="B256:N256"/>
    <mergeCell ref="B257:N257"/>
    <mergeCell ref="B258:N258"/>
    <mergeCell ref="B259:N259"/>
    <mergeCell ref="B270:N270"/>
    <mergeCell ref="B271:N271"/>
    <mergeCell ref="B273:N273"/>
    <mergeCell ref="B281:N281"/>
    <mergeCell ref="B283:N283"/>
    <mergeCell ref="B291:N291"/>
    <mergeCell ref="B294:N294"/>
    <mergeCell ref="B297:N297"/>
    <mergeCell ref="B300:N300"/>
    <mergeCell ref="B303:N303"/>
    <mergeCell ref="F310:N310"/>
    <mergeCell ref="F311:N311"/>
    <mergeCell ref="B305:N305"/>
    <mergeCell ref="F306:N306"/>
    <mergeCell ref="F307:N307"/>
    <mergeCell ref="F308:N308"/>
    <mergeCell ref="F309:N309"/>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192667"/>
  </sheetPr>
  <dimension ref="A1:O131"/>
  <sheetViews>
    <sheetView showGridLines="0" workbookViewId="0">
      <pane xSplit="2" ySplit="10" topLeftCell="I11" activePane="bottomRight" state="frozen"/>
      <selection pane="bottomRight" activeCell="B24" sqref="B24:N24"/>
      <selection pane="bottomLeft" activeCell="B24" sqref="B24:N24"/>
      <selection pane="topRight" activeCell="B24" sqref="B24:N24"/>
    </sheetView>
  </sheetViews>
  <sheetFormatPr defaultColWidth="8.875" defaultRowHeight="15"/>
  <cols>
    <col min="1" max="1" width="3" style="2" customWidth="1"/>
    <col min="2" max="2" width="32" style="2" customWidth="1"/>
    <col min="3" max="3" width="28" style="2" customWidth="1"/>
    <col min="4" max="4" width="19" style="2" customWidth="1"/>
    <col min="5" max="15" width="16" style="2" customWidth="1"/>
    <col min="16" max="16384" width="8.875" style="2"/>
  </cols>
  <sheetData>
    <row r="1" spans="1:15">
      <c r="A1" s="1"/>
      <c r="B1" s="1"/>
      <c r="C1" s="1"/>
      <c r="D1" s="1"/>
      <c r="E1" s="1"/>
      <c r="F1" s="1"/>
      <c r="G1" s="1"/>
      <c r="H1" s="1"/>
      <c r="I1" s="1"/>
      <c r="J1" s="1"/>
      <c r="K1" s="1"/>
      <c r="L1" s="1"/>
      <c r="M1" s="1"/>
      <c r="N1" s="1"/>
      <c r="O1" s="1"/>
    </row>
    <row r="2" spans="1:15" ht="32.1" customHeight="1">
      <c r="A2" s="1"/>
      <c r="B2" s="46" t="s">
        <v>179</v>
      </c>
      <c r="C2" s="46"/>
      <c r="D2" s="46"/>
      <c r="E2" s="46"/>
      <c r="F2" s="46"/>
      <c r="G2" s="46"/>
      <c r="H2" s="46"/>
      <c r="I2" s="46"/>
      <c r="J2" s="46"/>
      <c r="K2" s="46"/>
      <c r="L2" s="46"/>
      <c r="M2" s="46"/>
      <c r="N2" s="46"/>
      <c r="O2" s="46"/>
    </row>
    <row r="3" spans="1:15" ht="3.95" customHeight="1">
      <c r="A3" s="1"/>
      <c r="B3" s="3"/>
      <c r="C3" s="3"/>
      <c r="D3" s="3"/>
      <c r="E3" s="3"/>
      <c r="F3" s="3"/>
      <c r="G3" s="3"/>
      <c r="H3" s="3"/>
      <c r="I3" s="3"/>
      <c r="J3" s="3"/>
      <c r="K3" s="3"/>
      <c r="L3" s="3"/>
      <c r="M3" s="3"/>
      <c r="N3" s="3"/>
      <c r="O3" s="3"/>
    </row>
    <row r="4" spans="1:15" ht="30" customHeight="1">
      <c r="A4" s="1"/>
      <c r="B4" s="45" t="s">
        <v>1</v>
      </c>
      <c r="C4" s="45"/>
      <c r="D4" s="45"/>
      <c r="E4" s="45"/>
      <c r="F4" s="45"/>
      <c r="G4" s="45"/>
      <c r="H4" s="45"/>
      <c r="I4" s="45"/>
      <c r="J4" s="45"/>
      <c r="K4" s="45"/>
      <c r="L4" s="45"/>
      <c r="M4" s="45"/>
      <c r="N4" s="45"/>
      <c r="O4" s="45"/>
    </row>
    <row r="5" spans="1:15">
      <c r="A5" s="1"/>
      <c r="B5" s="1"/>
      <c r="C5" s="1"/>
      <c r="D5" s="1"/>
      <c r="E5" s="1"/>
      <c r="F5" s="1"/>
      <c r="G5" s="1"/>
      <c r="H5" s="1"/>
      <c r="I5" s="1"/>
      <c r="J5" s="1"/>
      <c r="K5" s="1"/>
      <c r="L5" s="1"/>
      <c r="M5" s="1"/>
      <c r="N5" s="1"/>
      <c r="O5" s="1"/>
    </row>
    <row r="6" spans="1:15" ht="21">
      <c r="A6" s="1"/>
      <c r="B6" s="1" t="s">
        <v>50</v>
      </c>
      <c r="C6" s="32">
        <f>'AGA y criterios'!D14</f>
        <v>198000</v>
      </c>
      <c r="D6" s="1"/>
      <c r="E6" s="1" t="s">
        <v>6</v>
      </c>
      <c r="F6" s="33">
        <f>L13</f>
        <v>198000</v>
      </c>
      <c r="G6" s="1"/>
      <c r="H6" s="1" t="s">
        <v>3</v>
      </c>
      <c r="I6" s="5">
        <f>ROUND(C6-F6,2)</f>
        <v>0</v>
      </c>
      <c r="J6" s="1"/>
      <c r="K6" s="1" t="s">
        <v>180</v>
      </c>
      <c r="L6" s="1"/>
      <c r="M6" s="33">
        <f>'AGA y criterios'!E14</f>
        <v>0</v>
      </c>
      <c r="N6" s="1"/>
      <c r="O6" s="1"/>
    </row>
    <row r="7" spans="1:15">
      <c r="A7" s="1"/>
      <c r="B7" s="1"/>
      <c r="C7" s="1"/>
      <c r="D7" s="1"/>
      <c r="E7" s="1"/>
      <c r="F7" s="1"/>
      <c r="G7" s="1"/>
      <c r="H7" s="1"/>
      <c r="I7" s="1"/>
      <c r="J7" s="1"/>
      <c r="K7" s="1"/>
      <c r="L7" s="1"/>
      <c r="M7" s="1"/>
      <c r="N7" s="1"/>
      <c r="O7" s="1"/>
    </row>
    <row r="8" spans="1:15" ht="30" customHeight="1">
      <c r="A8" s="1"/>
      <c r="B8" s="45" t="s">
        <v>52</v>
      </c>
      <c r="C8" s="45"/>
      <c r="D8" s="45"/>
      <c r="E8" s="45"/>
      <c r="F8" s="45"/>
      <c r="G8" s="45"/>
      <c r="H8" s="45"/>
      <c r="I8" s="45"/>
      <c r="J8" s="45"/>
      <c r="K8" s="45"/>
      <c r="L8" s="45"/>
      <c r="M8" s="45"/>
      <c r="N8" s="45"/>
      <c r="O8" s="45"/>
    </row>
    <row r="10" spans="1:15" ht="42" customHeight="1">
      <c r="B10" s="6" t="s">
        <v>53</v>
      </c>
      <c r="C10" s="7" t="s">
        <v>54</v>
      </c>
      <c r="D10" s="7" t="s">
        <v>8</v>
      </c>
      <c r="E10" s="7" t="s">
        <v>9</v>
      </c>
      <c r="F10" s="7" t="s">
        <v>10</v>
      </c>
      <c r="G10" s="7" t="s">
        <v>43</v>
      </c>
      <c r="H10" s="7" t="s">
        <v>44</v>
      </c>
      <c r="I10" s="7" t="s">
        <v>45</v>
      </c>
      <c r="J10" s="7" t="s">
        <v>46</v>
      </c>
      <c r="K10" s="7" t="s">
        <v>12</v>
      </c>
      <c r="L10" s="7" t="s">
        <v>55</v>
      </c>
      <c r="M10" s="7" t="s">
        <v>3</v>
      </c>
      <c r="N10" s="8" t="s">
        <v>56</v>
      </c>
    </row>
    <row r="11" spans="1:15" ht="30.95" customHeight="1">
      <c r="B11" s="10" t="s">
        <v>181</v>
      </c>
      <c r="C11" s="11">
        <f>'AGA y criterios'!D37</f>
        <v>128000</v>
      </c>
      <c r="D11" s="11">
        <f>I24</f>
        <v>23724.890000000003</v>
      </c>
      <c r="E11" s="11">
        <v>0</v>
      </c>
      <c r="F11" s="11">
        <v>0</v>
      </c>
      <c r="G11" s="11">
        <f>I25</f>
        <v>40280.22</v>
      </c>
      <c r="H11" s="11">
        <f>I26</f>
        <v>38400</v>
      </c>
      <c r="I11" s="11">
        <f>I27</f>
        <v>6400</v>
      </c>
      <c r="J11" s="11">
        <v>0</v>
      </c>
      <c r="K11" s="11">
        <f>I28</f>
        <v>19194.89</v>
      </c>
      <c r="L11" s="11">
        <f>I29</f>
        <v>128000</v>
      </c>
      <c r="M11" s="11">
        <f>ROUND(C11-L11,2)</f>
        <v>0</v>
      </c>
      <c r="N11" s="13">
        <f>L11/$C$6</f>
        <v>0.64646464646464652</v>
      </c>
    </row>
    <row r="12" spans="1:15" ht="30.95" customHeight="1">
      <c r="B12" s="15" t="s">
        <v>182</v>
      </c>
      <c r="C12" s="16">
        <f>'AGA y criterios'!D38</f>
        <v>70000</v>
      </c>
      <c r="D12" s="16">
        <f>I83</f>
        <v>12974.550000000001</v>
      </c>
      <c r="E12" s="16">
        <v>0</v>
      </c>
      <c r="F12" s="16">
        <v>0</v>
      </c>
      <c r="G12" s="16">
        <f>I84</f>
        <v>22028.240000000002</v>
      </c>
      <c r="H12" s="16">
        <f>I85</f>
        <v>21000</v>
      </c>
      <c r="I12" s="16">
        <f>I86</f>
        <v>3500</v>
      </c>
      <c r="J12" s="16">
        <v>0</v>
      </c>
      <c r="K12" s="16">
        <f>I87</f>
        <v>10497.21</v>
      </c>
      <c r="L12" s="16">
        <f>I88</f>
        <v>70000</v>
      </c>
      <c r="M12" s="16">
        <f>ROUND(C12-L12,2)</f>
        <v>0</v>
      </c>
      <c r="N12" s="18">
        <f>L12/$C$6</f>
        <v>0.35353535353535354</v>
      </c>
    </row>
    <row r="13" spans="1:15" ht="30" customHeight="1">
      <c r="B13" s="34" t="s">
        <v>57</v>
      </c>
      <c r="C13" s="20">
        <f t="shared" ref="C13:N13" si="0">SUM(C11:C12)</f>
        <v>198000</v>
      </c>
      <c r="D13" s="20">
        <f t="shared" si="0"/>
        <v>36699.440000000002</v>
      </c>
      <c r="E13" s="20">
        <f t="shared" si="0"/>
        <v>0</v>
      </c>
      <c r="F13" s="20">
        <f t="shared" si="0"/>
        <v>0</v>
      </c>
      <c r="G13" s="20">
        <f t="shared" si="0"/>
        <v>62308.460000000006</v>
      </c>
      <c r="H13" s="20">
        <f t="shared" si="0"/>
        <v>59400</v>
      </c>
      <c r="I13" s="20">
        <f t="shared" si="0"/>
        <v>9900</v>
      </c>
      <c r="J13" s="20">
        <f t="shared" si="0"/>
        <v>0</v>
      </c>
      <c r="K13" s="20">
        <f t="shared" si="0"/>
        <v>29692.1</v>
      </c>
      <c r="L13" s="20">
        <f t="shared" si="0"/>
        <v>198000</v>
      </c>
      <c r="M13" s="20">
        <f t="shared" si="0"/>
        <v>0</v>
      </c>
      <c r="N13" s="22">
        <f t="shared" si="0"/>
        <v>1</v>
      </c>
    </row>
    <row r="17" spans="2:14" ht="24.95" customHeight="1">
      <c r="B17" s="47" t="s">
        <v>183</v>
      </c>
      <c r="C17" s="47"/>
      <c r="D17" s="47"/>
      <c r="E17" s="47"/>
      <c r="F17" s="47"/>
      <c r="G17" s="47"/>
      <c r="H17" s="47"/>
      <c r="I17" s="47"/>
      <c r="J17" s="47"/>
      <c r="K17" s="47"/>
      <c r="L17" s="47"/>
      <c r="M17" s="47"/>
      <c r="N17" s="47"/>
    </row>
    <row r="18" spans="2:14" ht="32.1" customHeight="1">
      <c r="B18" s="45" t="s">
        <v>184</v>
      </c>
      <c r="C18" s="45"/>
      <c r="D18" s="45"/>
      <c r="E18" s="45"/>
      <c r="F18" s="45"/>
      <c r="G18" s="45"/>
      <c r="H18" s="45"/>
      <c r="I18" s="45"/>
      <c r="J18" s="45"/>
      <c r="K18" s="45"/>
      <c r="L18" s="45"/>
      <c r="M18" s="45"/>
      <c r="N18" s="45"/>
    </row>
    <row r="19" spans="2:14" ht="32.1" customHeight="1">
      <c r="B19" s="45" t="s">
        <v>185</v>
      </c>
      <c r="C19" s="45"/>
      <c r="D19" s="45"/>
      <c r="E19" s="45"/>
      <c r="F19" s="45"/>
      <c r="G19" s="45"/>
      <c r="H19" s="45"/>
      <c r="I19" s="45"/>
      <c r="J19" s="45"/>
      <c r="K19" s="45"/>
      <c r="L19" s="45"/>
      <c r="M19" s="45"/>
      <c r="N19" s="45"/>
    </row>
    <row r="20" spans="2:14" ht="33.950000000000003" customHeight="1">
      <c r="B20" s="45" t="s">
        <v>186</v>
      </c>
      <c r="C20" s="45"/>
      <c r="D20" s="45"/>
      <c r="E20" s="45"/>
      <c r="F20" s="45"/>
      <c r="G20" s="45"/>
      <c r="H20" s="45"/>
      <c r="I20" s="45"/>
      <c r="J20" s="45"/>
      <c r="K20" s="45"/>
      <c r="L20" s="45"/>
      <c r="M20" s="45"/>
      <c r="N20" s="45"/>
    </row>
    <row r="21" spans="2:14">
      <c r="B21" s="2" t="s">
        <v>61</v>
      </c>
      <c r="C21" s="35">
        <f>'AGA y criterios'!D37</f>
        <v>128000</v>
      </c>
    </row>
    <row r="22" spans="2:14">
      <c r="B22" s="2" t="s">
        <v>34</v>
      </c>
    </row>
    <row r="23" spans="2:14" ht="42" customHeight="1">
      <c r="B23" s="6" t="s">
        <v>38</v>
      </c>
      <c r="C23" s="7" t="s">
        <v>63</v>
      </c>
      <c r="D23" s="7" t="s">
        <v>64</v>
      </c>
      <c r="E23" s="7" t="s">
        <v>135</v>
      </c>
      <c r="F23" s="7" t="s">
        <v>119</v>
      </c>
      <c r="G23" s="7" t="s">
        <v>71</v>
      </c>
      <c r="H23" s="7" t="s">
        <v>72</v>
      </c>
      <c r="I23" s="7" t="s">
        <v>2</v>
      </c>
      <c r="J23" s="8" t="s">
        <v>13</v>
      </c>
    </row>
    <row r="24" spans="2:14" ht="30.95" customHeight="1">
      <c r="B24" s="10" t="s">
        <v>8</v>
      </c>
      <c r="C24" s="10" t="s">
        <v>73</v>
      </c>
      <c r="D24" s="36">
        <f>SUM(Tarifas!E7:E12)</f>
        <v>10068.25</v>
      </c>
      <c r="E24" s="11">
        <f>ROUND($C$21*('Base de distribución'!E114/SUM('Base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11862.44</v>
      </c>
      <c r="F24" s="11">
        <f>ROUND($C$21*('Base de distribución'!E115/SUM('Base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7908.3</v>
      </c>
      <c r="G24" s="11">
        <f>ROUND($C$21*('Base de distribución'!E116/SUM('Base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3954.15</v>
      </c>
      <c r="H24" s="37">
        <f>SUM(H45:H50)</f>
        <v>14.13843915278226</v>
      </c>
      <c r="I24" s="11">
        <f>SUM(E24:G24)</f>
        <v>23724.890000000003</v>
      </c>
      <c r="J24" s="13">
        <f>I24/$C$21</f>
        <v>0.18535070312500002</v>
      </c>
      <c r="K24" s="9"/>
      <c r="L24" s="9"/>
      <c r="M24" s="9"/>
      <c r="N24" s="9"/>
    </row>
    <row r="25" spans="2:14" ht="30.95" customHeight="1">
      <c r="B25" s="15" t="s">
        <v>37</v>
      </c>
      <c r="C25" s="15" t="s">
        <v>75</v>
      </c>
      <c r="D25" s="38">
        <f>Tarifas!E35</f>
        <v>8.625</v>
      </c>
      <c r="E25" s="16">
        <f>ROUND($C$21*('Base de distribución'!E117/SUM('Base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16544.66</v>
      </c>
      <c r="F25" s="16">
        <f>ROUND($C$21*('Base de distribución'!E118/SUM('Base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11406.15</v>
      </c>
      <c r="G25" s="16">
        <f>ROUND($C$21*('Base de distribución'!E119/SUM('Base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12329.41</v>
      </c>
      <c r="H25" s="41">
        <f>SUM(H53:H53)</f>
        <v>4670169</v>
      </c>
      <c r="I25" s="16">
        <f>SUM(E25:G25)</f>
        <v>40280.22</v>
      </c>
      <c r="J25" s="18">
        <f>I25/$C$21</f>
        <v>0.31468921875</v>
      </c>
      <c r="K25" s="14"/>
      <c r="L25" s="14"/>
      <c r="M25" s="14"/>
      <c r="N25" s="14"/>
    </row>
    <row r="26" spans="2:14" ht="30.95" customHeight="1">
      <c r="B26" s="10" t="s">
        <v>44</v>
      </c>
      <c r="C26" s="10" t="s">
        <v>75</v>
      </c>
      <c r="D26" s="36">
        <f>Tarifas!E36</f>
        <v>6.9</v>
      </c>
      <c r="E26" s="11">
        <f>ROUND($C$21*('Base de distribución'!E120/SUM('Base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17280</v>
      </c>
      <c r="F26" s="11">
        <f>ROUND($C$21*('Base de distribución'!E121/SUM('Base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11520</v>
      </c>
      <c r="G26" s="11">
        <f>ROUND($C$21*('Base de distribución'!E122/SUM('Base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9600</v>
      </c>
      <c r="H26" s="40">
        <f>SUM(H56:H56)</f>
        <v>5565216</v>
      </c>
      <c r="I26" s="11">
        <f>SUM(E26:G26)</f>
        <v>38400</v>
      </c>
      <c r="J26" s="13">
        <f>I26/$C$21</f>
        <v>0.3</v>
      </c>
      <c r="K26" s="9"/>
      <c r="L26" s="9"/>
      <c r="M26" s="9"/>
      <c r="N26" s="9"/>
    </row>
    <row r="27" spans="2:14" ht="30.95" customHeight="1">
      <c r="B27" s="15" t="s">
        <v>45</v>
      </c>
      <c r="C27" s="15" t="s">
        <v>75</v>
      </c>
      <c r="D27" s="38">
        <f>Tarifas!E37</f>
        <v>9.1999999999999993</v>
      </c>
      <c r="E27" s="16">
        <f>ROUND($C$21*('Base de distribución'!E123/SUM('Base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2880</v>
      </c>
      <c r="F27" s="16">
        <f>ROUND($C$21*('Base de distribución'!E124/SUM('Base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1920</v>
      </c>
      <c r="G27" s="16">
        <f>ROUND($C$21*('Base de distribución'!E125/SUM('Base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1600</v>
      </c>
      <c r="H27" s="41">
        <f>SUM(H59:H59)</f>
        <v>695651</v>
      </c>
      <c r="I27" s="16">
        <f>SUM(E27:G27)</f>
        <v>6400</v>
      </c>
      <c r="J27" s="18">
        <f>I27/$C$21</f>
        <v>0.05</v>
      </c>
      <c r="K27" s="14"/>
      <c r="L27" s="14"/>
      <c r="M27" s="14"/>
      <c r="N27" s="14"/>
    </row>
    <row r="28" spans="2:14" ht="30.95" customHeight="1">
      <c r="B28" s="10" t="s">
        <v>47</v>
      </c>
      <c r="C28" s="10" t="s">
        <v>77</v>
      </c>
      <c r="D28" s="36">
        <f>Tarifas!E39</f>
        <v>2875</v>
      </c>
      <c r="E28" s="11">
        <f>ROUND($C$21*('Base de distribución'!E126/SUM('Base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9032.89</v>
      </c>
      <c r="F28" s="11">
        <f>ROUND($C$21*('Base de distribución'!E127/SUM('Base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5645.56</v>
      </c>
      <c r="G28" s="11">
        <f>ROUND($C$21-SUM(E24:G24,E25:G25,E26:G26,E27:G27,E28:F28),2)</f>
        <v>4516.4399999999996</v>
      </c>
      <c r="H28" s="37">
        <f>H62*Tarifas!F39</f>
        <v>20.029450434782607</v>
      </c>
      <c r="I28" s="11">
        <f>SUM(E28:G28)</f>
        <v>19194.89</v>
      </c>
      <c r="J28" s="13">
        <f>I28/$C$21</f>
        <v>0.14996007812500001</v>
      </c>
      <c r="K28" s="9"/>
      <c r="L28" s="9"/>
      <c r="M28" s="9"/>
      <c r="N28" s="9"/>
    </row>
    <row r="29" spans="2:14" ht="30" customHeight="1">
      <c r="B29" s="19" t="s">
        <v>78</v>
      </c>
      <c r="C29" s="19"/>
      <c r="D29" s="19"/>
      <c r="E29" s="20">
        <f>SUM(E24:E28)</f>
        <v>57599.99</v>
      </c>
      <c r="F29" s="20">
        <f>SUM(F24:F28)</f>
        <v>38400.01</v>
      </c>
      <c r="G29" s="20">
        <f>SUM(G24:G28)</f>
        <v>31999.999999999996</v>
      </c>
      <c r="H29" s="19"/>
      <c r="I29" s="20">
        <f>SUM(I24:I28)</f>
        <v>128000</v>
      </c>
      <c r="J29" s="22">
        <f>SUM(J24:J28)</f>
        <v>1</v>
      </c>
      <c r="K29" s="19"/>
      <c r="L29" s="19"/>
      <c r="M29" s="19"/>
      <c r="N29" s="19"/>
    </row>
    <row r="30" spans="2:14">
      <c r="B30" s="2" t="s">
        <v>79</v>
      </c>
      <c r="C30" s="42">
        <f>ROUND(C21-I29,2)</f>
        <v>0</v>
      </c>
    </row>
    <row r="31" spans="2:14" ht="32.1" customHeight="1">
      <c r="B31" s="45" t="s">
        <v>80</v>
      </c>
      <c r="C31" s="45"/>
      <c r="D31" s="45"/>
      <c r="E31" s="45"/>
      <c r="F31" s="45"/>
      <c r="G31" s="45"/>
      <c r="H31" s="45"/>
      <c r="I31" s="45"/>
      <c r="J31" s="45"/>
      <c r="K31" s="45"/>
      <c r="L31" s="45"/>
      <c r="M31" s="45"/>
      <c r="N31" s="45"/>
    </row>
    <row r="32" spans="2:14" ht="32.1" customHeight="1">
      <c r="B32" s="45" t="s">
        <v>81</v>
      </c>
      <c r="C32" s="45"/>
      <c r="D32" s="45"/>
      <c r="E32" s="45"/>
      <c r="F32" s="45"/>
      <c r="G32" s="45"/>
      <c r="H32" s="45"/>
      <c r="I32" s="45"/>
      <c r="J32" s="45"/>
      <c r="K32" s="45"/>
      <c r="L32" s="45"/>
      <c r="M32" s="45"/>
      <c r="N32" s="45"/>
    </row>
    <row r="34" spans="2:14" ht="24.95" customHeight="1">
      <c r="B34" s="47" t="s">
        <v>82</v>
      </c>
      <c r="C34" s="47"/>
      <c r="D34" s="47"/>
      <c r="E34" s="47"/>
      <c r="F34" s="47"/>
      <c r="G34" s="47"/>
      <c r="H34" s="47"/>
      <c r="I34" s="47"/>
      <c r="J34" s="47"/>
      <c r="K34" s="47"/>
      <c r="L34" s="47"/>
      <c r="M34" s="47"/>
      <c r="N34" s="47"/>
    </row>
    <row r="35" spans="2:14" ht="42" customHeight="1">
      <c r="B35" s="6" t="s">
        <v>38</v>
      </c>
      <c r="C35" s="7" t="s">
        <v>83</v>
      </c>
      <c r="D35" s="7" t="s">
        <v>84</v>
      </c>
      <c r="E35" s="7" t="s">
        <v>135</v>
      </c>
      <c r="F35" s="7" t="s">
        <v>119</v>
      </c>
      <c r="G35" s="8" t="s">
        <v>71</v>
      </c>
    </row>
    <row r="36" spans="2:14" ht="44.1" customHeight="1">
      <c r="B36" s="10" t="s">
        <v>8</v>
      </c>
      <c r="C36" s="10" t="s">
        <v>85</v>
      </c>
      <c r="D36" s="10" t="s">
        <v>86</v>
      </c>
      <c r="E36" s="9" t="s">
        <v>135</v>
      </c>
      <c r="F36" s="9" t="s">
        <v>119</v>
      </c>
      <c r="G36" s="9" t="s">
        <v>71</v>
      </c>
      <c r="H36" s="9"/>
      <c r="I36" s="9"/>
      <c r="J36" s="9"/>
      <c r="K36" s="9"/>
      <c r="L36" s="9"/>
      <c r="M36" s="9"/>
      <c r="N36" s="9"/>
    </row>
    <row r="37" spans="2:14" ht="44.1" customHeight="1">
      <c r="B37" s="15" t="s">
        <v>43</v>
      </c>
      <c r="C37" s="15" t="s">
        <v>89</v>
      </c>
      <c r="D37" s="15" t="s">
        <v>86</v>
      </c>
      <c r="E37" s="14" t="s">
        <v>135</v>
      </c>
      <c r="F37" s="14" t="s">
        <v>119</v>
      </c>
      <c r="G37" s="14" t="s">
        <v>71</v>
      </c>
      <c r="H37" s="14"/>
      <c r="I37" s="14"/>
      <c r="J37" s="14"/>
      <c r="K37" s="14"/>
      <c r="L37" s="14"/>
      <c r="M37" s="14"/>
      <c r="N37" s="14"/>
    </row>
    <row r="38" spans="2:14" ht="44.1" customHeight="1">
      <c r="B38" s="10" t="s">
        <v>44</v>
      </c>
      <c r="C38" s="10" t="s">
        <v>90</v>
      </c>
      <c r="D38" s="10" t="s">
        <v>86</v>
      </c>
      <c r="E38" s="9" t="s">
        <v>135</v>
      </c>
      <c r="F38" s="9" t="s">
        <v>119</v>
      </c>
      <c r="G38" s="9" t="s">
        <v>71</v>
      </c>
      <c r="H38" s="9"/>
      <c r="I38" s="9"/>
      <c r="J38" s="9"/>
      <c r="K38" s="9"/>
      <c r="L38" s="9"/>
      <c r="M38" s="9"/>
      <c r="N38" s="9"/>
    </row>
    <row r="39" spans="2:14" ht="44.1" customHeight="1">
      <c r="B39" s="15" t="s">
        <v>45</v>
      </c>
      <c r="C39" s="15" t="s">
        <v>149</v>
      </c>
      <c r="D39" s="15" t="s">
        <v>86</v>
      </c>
      <c r="E39" s="14" t="s">
        <v>135</v>
      </c>
      <c r="F39" s="14" t="s">
        <v>119</v>
      </c>
      <c r="G39" s="14" t="s">
        <v>71</v>
      </c>
      <c r="H39" s="14"/>
      <c r="I39" s="14"/>
      <c r="J39" s="14"/>
      <c r="K39" s="14"/>
      <c r="L39" s="14"/>
      <c r="M39" s="14"/>
      <c r="N39" s="14"/>
    </row>
    <row r="40" spans="2:14" ht="44.1" customHeight="1">
      <c r="B40" s="10" t="s">
        <v>47</v>
      </c>
      <c r="C40" s="10" t="s">
        <v>92</v>
      </c>
      <c r="D40" s="10" t="s">
        <v>86</v>
      </c>
      <c r="E40" s="9" t="s">
        <v>135</v>
      </c>
      <c r="F40" s="9" t="s">
        <v>119</v>
      </c>
      <c r="G40" s="9" t="s">
        <v>71</v>
      </c>
      <c r="H40" s="9"/>
      <c r="I40" s="9"/>
      <c r="J40" s="9"/>
      <c r="K40" s="9"/>
      <c r="L40" s="9"/>
      <c r="M40" s="9"/>
      <c r="N40" s="9"/>
    </row>
    <row r="42" spans="2:14" ht="24.95" customHeight="1">
      <c r="B42" s="47" t="s">
        <v>93</v>
      </c>
      <c r="C42" s="47"/>
      <c r="D42" s="47"/>
      <c r="E42" s="47"/>
      <c r="F42" s="47"/>
      <c r="G42" s="47"/>
      <c r="H42" s="47"/>
      <c r="I42" s="47"/>
      <c r="J42" s="47"/>
      <c r="K42" s="47"/>
      <c r="L42" s="47"/>
      <c r="M42" s="47"/>
      <c r="N42" s="47"/>
    </row>
    <row r="43" spans="2:14" ht="42" customHeight="1">
      <c r="B43" s="6" t="s">
        <v>94</v>
      </c>
      <c r="C43" s="7" t="s">
        <v>95</v>
      </c>
      <c r="D43" s="7" t="s">
        <v>64</v>
      </c>
      <c r="E43" s="7" t="s">
        <v>135</v>
      </c>
      <c r="F43" s="7" t="s">
        <v>119</v>
      </c>
      <c r="G43" s="7" t="s">
        <v>71</v>
      </c>
      <c r="H43" s="7" t="s">
        <v>96</v>
      </c>
      <c r="I43" s="7" t="s">
        <v>2</v>
      </c>
      <c r="J43" s="8" t="s">
        <v>97</v>
      </c>
    </row>
    <row r="44" spans="2:14" ht="24.95" customHeight="1">
      <c r="B44" s="47" t="s">
        <v>8</v>
      </c>
      <c r="C44" s="47"/>
      <c r="D44" s="47"/>
      <c r="E44" s="47"/>
      <c r="F44" s="47"/>
      <c r="G44" s="47"/>
      <c r="H44" s="47"/>
      <c r="I44" s="47"/>
      <c r="J44" s="47"/>
      <c r="K44" s="47"/>
      <c r="L44" s="47"/>
      <c r="M44" s="47"/>
      <c r="N44" s="47"/>
    </row>
    <row r="45" spans="2:14" ht="38.1" customHeight="1">
      <c r="B45" s="10" t="str">
        <f>Tarifas!B7</f>
        <v>Telemundo</v>
      </c>
      <c r="C45" s="10" t="str">
        <f>Tarifas!C7</f>
        <v>Dia a Dia</v>
      </c>
      <c r="D45" s="36">
        <f>Tarifas!E7</f>
        <v>782</v>
      </c>
      <c r="E45" s="37">
        <f>E24/$D$24</f>
        <v>1.1782027661212227</v>
      </c>
      <c r="F45" s="37">
        <f>F24/$D$24</f>
        <v>0.78546917289499174</v>
      </c>
      <c r="G45" s="37">
        <f>G24/$D$24</f>
        <v>0.39273458644749587</v>
      </c>
      <c r="H45" s="37">
        <f t="shared" ref="H45:H50" si="1">SUM(E45:G45)</f>
        <v>2.3564065254637101</v>
      </c>
      <c r="I45" s="11">
        <f>ROUND(H45*D45,2)</f>
        <v>1842.71</v>
      </c>
      <c r="J45" s="13">
        <f t="shared" ref="J45:J50" si="2">I45/$C$21</f>
        <v>1.4396171875000001E-2</v>
      </c>
      <c r="K45" s="9"/>
      <c r="L45" s="9"/>
      <c r="M45" s="9"/>
      <c r="N45" s="9"/>
    </row>
    <row r="46" spans="2:14" ht="38.1" customHeight="1">
      <c r="B46" s="15" t="str">
        <f>Tarifas!B8</f>
        <v>Telemundo</v>
      </c>
      <c r="C46" s="15" t="str">
        <f>Tarifas!C8</f>
        <v>PR Gana 6pm (M,W,T,f,Su)</v>
      </c>
      <c r="D46" s="38">
        <f>Tarifas!E8</f>
        <v>2541.5</v>
      </c>
      <c r="E46" s="39">
        <f>E24/$D$24</f>
        <v>1.1782027661212227</v>
      </c>
      <c r="F46" s="39">
        <f>F24/$D$24</f>
        <v>0.78546917289499174</v>
      </c>
      <c r="G46" s="39">
        <f>G24/$D$24</f>
        <v>0.39273458644749587</v>
      </c>
      <c r="H46" s="39">
        <f t="shared" si="1"/>
        <v>2.3564065254637101</v>
      </c>
      <c r="I46" s="16">
        <f>ROUND(H46*D46,2)</f>
        <v>5988.81</v>
      </c>
      <c r="J46" s="18">
        <f t="shared" si="2"/>
        <v>4.6787578125E-2</v>
      </c>
      <c r="K46" s="14"/>
      <c r="L46" s="14"/>
      <c r="M46" s="14"/>
      <c r="N46" s="14"/>
    </row>
    <row r="47" spans="2:14" ht="38.1" customHeight="1">
      <c r="B47" s="10" t="str">
        <f>Tarifas!B9</f>
        <v>WAPA</v>
      </c>
      <c r="C47" s="10" t="str">
        <f>Tarifas!C9</f>
        <v>Pegate al MedioDIa</v>
      </c>
      <c r="D47" s="36">
        <f>Tarifas!E9</f>
        <v>977.5</v>
      </c>
      <c r="E47" s="37">
        <f>E24/$D$24</f>
        <v>1.1782027661212227</v>
      </c>
      <c r="F47" s="37">
        <f>F24/$D$24</f>
        <v>0.78546917289499174</v>
      </c>
      <c r="G47" s="37">
        <f>G24/$D$24</f>
        <v>0.39273458644749587</v>
      </c>
      <c r="H47" s="37">
        <f t="shared" si="1"/>
        <v>2.3564065254637101</v>
      </c>
      <c r="I47" s="11">
        <f>ROUND(H47*D47,2)</f>
        <v>2303.39</v>
      </c>
      <c r="J47" s="13">
        <f t="shared" si="2"/>
        <v>1.7995234374999999E-2</v>
      </c>
      <c r="K47" s="9"/>
      <c r="L47" s="9"/>
      <c r="M47" s="9"/>
      <c r="N47" s="9"/>
    </row>
    <row r="48" spans="2:14" ht="38.1" customHeight="1">
      <c r="B48" s="15" t="str">
        <f>Tarifas!B10</f>
        <v>WAPA</v>
      </c>
      <c r="C48" s="15" t="str">
        <f>Tarifas!C10</f>
        <v>Reality-Funcion Estelar 7p</v>
      </c>
      <c r="D48" s="38">
        <f>Tarifas!E10</f>
        <v>3519</v>
      </c>
      <c r="E48" s="39">
        <f>E24/$D$24</f>
        <v>1.1782027661212227</v>
      </c>
      <c r="F48" s="39">
        <f>F24/$D$24</f>
        <v>0.78546917289499174</v>
      </c>
      <c r="G48" s="39">
        <f>G24/$D$24</f>
        <v>0.39273458644749587</v>
      </c>
      <c r="H48" s="39">
        <f t="shared" si="1"/>
        <v>2.3564065254637101</v>
      </c>
      <c r="I48" s="16">
        <f>ROUND(H48*D48,2)</f>
        <v>8292.19</v>
      </c>
      <c r="J48" s="18">
        <f t="shared" si="2"/>
        <v>6.4782734374999998E-2</v>
      </c>
      <c r="K48" s="14"/>
      <c r="L48" s="14"/>
      <c r="M48" s="14"/>
      <c r="N48" s="14"/>
    </row>
    <row r="49" spans="2:14" ht="38.1" customHeight="1">
      <c r="B49" s="10" t="str">
        <f>Tarifas!B11</f>
        <v>TeleOnce</v>
      </c>
      <c r="C49" s="10" t="str">
        <f>Tarifas!C11</f>
        <v>PR en Vivo</v>
      </c>
      <c r="D49" s="36">
        <f>Tarifas!E11</f>
        <v>586.5</v>
      </c>
      <c r="E49" s="37">
        <f>E24/$D$24</f>
        <v>1.1782027661212227</v>
      </c>
      <c r="F49" s="37">
        <f>F24/$D$24</f>
        <v>0.78546917289499174</v>
      </c>
      <c r="G49" s="37">
        <f>G24/$D$24</f>
        <v>0.39273458644749587</v>
      </c>
      <c r="H49" s="37">
        <f t="shared" si="1"/>
        <v>2.3564065254637101</v>
      </c>
      <c r="I49" s="11">
        <f>ROUND(H49*D49,2)</f>
        <v>1382.03</v>
      </c>
      <c r="J49" s="13">
        <f t="shared" si="2"/>
        <v>1.0797109374999999E-2</v>
      </c>
      <c r="K49" s="9"/>
      <c r="L49" s="9"/>
      <c r="M49" s="9"/>
      <c r="N49" s="9"/>
    </row>
    <row r="50" spans="2:14" ht="38.1" customHeight="1">
      <c r="B50" s="15" t="str">
        <f>Tarifas!B12</f>
        <v>TeleOnce</v>
      </c>
      <c r="C50" s="15" t="str">
        <f>Tarifas!C12</f>
        <v>Las Noticias Prime</v>
      </c>
      <c r="D50" s="38">
        <f>Tarifas!E12</f>
        <v>1661.75</v>
      </c>
      <c r="E50" s="39">
        <f>E24/$D$24</f>
        <v>1.1782027661212227</v>
      </c>
      <c r="F50" s="39">
        <f>F24/$D$24</f>
        <v>0.78546917289499174</v>
      </c>
      <c r="G50" s="39">
        <f>G24/$D$24</f>
        <v>0.39273458644749587</v>
      </c>
      <c r="H50" s="39">
        <f t="shared" si="1"/>
        <v>2.3564065254637101</v>
      </c>
      <c r="I50" s="16">
        <f>ROUND(I24-SUM(I45:I49),2)</f>
        <v>3915.76</v>
      </c>
      <c r="J50" s="18">
        <f t="shared" si="2"/>
        <v>3.0591875000000001E-2</v>
      </c>
      <c r="K50" s="14"/>
      <c r="L50" s="14"/>
      <c r="M50" s="14"/>
      <c r="N50" s="14"/>
    </row>
    <row r="51" spans="2:14" ht="30" customHeight="1">
      <c r="B51" s="19" t="s">
        <v>98</v>
      </c>
      <c r="C51" s="19"/>
      <c r="D51" s="19"/>
      <c r="E51" s="19"/>
      <c r="F51" s="19"/>
      <c r="G51" s="19"/>
      <c r="H51" s="19"/>
      <c r="I51" s="20">
        <f>SUM(I45:I50)</f>
        <v>23724.89</v>
      </c>
      <c r="J51" s="19"/>
      <c r="K51" s="19"/>
      <c r="L51" s="19"/>
      <c r="M51" s="19"/>
      <c r="N51" s="19"/>
    </row>
    <row r="52" spans="2:14" ht="24.95" customHeight="1">
      <c r="B52" s="47" t="s">
        <v>43</v>
      </c>
      <c r="C52" s="47"/>
      <c r="D52" s="47"/>
      <c r="E52" s="47"/>
      <c r="F52" s="47"/>
      <c r="G52" s="47"/>
      <c r="H52" s="47"/>
      <c r="I52" s="47"/>
      <c r="J52" s="47"/>
      <c r="K52" s="47"/>
      <c r="L52" s="47"/>
      <c r="M52" s="47"/>
      <c r="N52" s="47"/>
    </row>
    <row r="53" spans="2:14" ht="38.1" customHeight="1">
      <c r="B53" s="10" t="str">
        <f>Tarifas!B35</f>
        <v>Meta</v>
      </c>
      <c r="C53" s="10" t="str">
        <f>Tarifas!C35</f>
        <v>Video / Reels / Stories</v>
      </c>
      <c r="D53" s="36">
        <f>Tarifas!E35</f>
        <v>8.625</v>
      </c>
      <c r="E53" s="40">
        <f>ROUNDDOWN(E25/$D53*1000,0)</f>
        <v>1918221</v>
      </c>
      <c r="F53" s="40">
        <f>ROUNDDOWN(F25/$D53*1000,0)</f>
        <v>1322452</v>
      </c>
      <c r="G53" s="40">
        <f>ROUNDDOWN(G25/$D53*1000,0)</f>
        <v>1429496</v>
      </c>
      <c r="H53" s="40">
        <f>SUM(E53:G53)</f>
        <v>4670169</v>
      </c>
      <c r="I53" s="11">
        <f>I25</f>
        <v>40280.22</v>
      </c>
      <c r="J53" s="13">
        <f>I53/$C$21</f>
        <v>0.31468921875</v>
      </c>
      <c r="K53" s="9"/>
      <c r="L53" s="9"/>
      <c r="M53" s="9"/>
      <c r="N53" s="9"/>
    </row>
    <row r="54" spans="2:14" ht="30" customHeight="1">
      <c r="B54" s="19" t="s">
        <v>102</v>
      </c>
      <c r="C54" s="19"/>
      <c r="D54" s="19"/>
      <c r="E54" s="19"/>
      <c r="F54" s="19"/>
      <c r="G54" s="19"/>
      <c r="H54" s="19"/>
      <c r="I54" s="20">
        <f>SUM(I53:I53)</f>
        <v>40280.22</v>
      </c>
      <c r="J54" s="19"/>
      <c r="K54" s="19"/>
      <c r="L54" s="19"/>
      <c r="M54" s="19"/>
      <c r="N54" s="19"/>
    </row>
    <row r="55" spans="2:14" ht="24.95" customHeight="1">
      <c r="B55" s="47" t="s">
        <v>44</v>
      </c>
      <c r="C55" s="47"/>
      <c r="D55" s="47"/>
      <c r="E55" s="47"/>
      <c r="F55" s="47"/>
      <c r="G55" s="47"/>
      <c r="H55" s="47"/>
      <c r="I55" s="47"/>
      <c r="J55" s="47"/>
      <c r="K55" s="47"/>
      <c r="L55" s="47"/>
      <c r="M55" s="47"/>
      <c r="N55" s="47"/>
    </row>
    <row r="56" spans="2:14" ht="38.1" customHeight="1">
      <c r="B56" s="10" t="str">
        <f>Tarifas!B36</f>
        <v>YouTube</v>
      </c>
      <c r="C56" s="10" t="str">
        <f>Tarifas!C36</f>
        <v>Video 15–30 s</v>
      </c>
      <c r="D56" s="36">
        <f>Tarifas!E36</f>
        <v>6.9</v>
      </c>
      <c r="E56" s="40">
        <f>ROUNDDOWN(E26/$D56*1000,0)</f>
        <v>2504347</v>
      </c>
      <c r="F56" s="40">
        <f>ROUNDDOWN(F26/$D56*1000,0)</f>
        <v>1669565</v>
      </c>
      <c r="G56" s="40">
        <f>ROUNDDOWN(G26/$D56*1000,0)</f>
        <v>1391304</v>
      </c>
      <c r="H56" s="40">
        <f>SUM(E56:G56)</f>
        <v>5565216</v>
      </c>
      <c r="I56" s="11">
        <f>I26</f>
        <v>38400</v>
      </c>
      <c r="J56" s="13">
        <f>I56/$C$21</f>
        <v>0.3</v>
      </c>
      <c r="K56" s="9"/>
      <c r="L56" s="9"/>
      <c r="M56" s="9"/>
      <c r="N56" s="9"/>
    </row>
    <row r="57" spans="2:14" ht="30" customHeight="1">
      <c r="B57" s="19" t="s">
        <v>103</v>
      </c>
      <c r="C57" s="19"/>
      <c r="D57" s="19"/>
      <c r="E57" s="19"/>
      <c r="F57" s="19"/>
      <c r="G57" s="19"/>
      <c r="H57" s="19"/>
      <c r="I57" s="20">
        <f>SUM(I56:I56)</f>
        <v>38400</v>
      </c>
      <c r="J57" s="19"/>
      <c r="K57" s="19"/>
      <c r="L57" s="19"/>
      <c r="M57" s="19"/>
      <c r="N57" s="19"/>
    </row>
    <row r="58" spans="2:14" ht="24.95" customHeight="1">
      <c r="B58" s="47" t="s">
        <v>45</v>
      </c>
      <c r="C58" s="47"/>
      <c r="D58" s="47"/>
      <c r="E58" s="47"/>
      <c r="F58" s="47"/>
      <c r="G58" s="47"/>
      <c r="H58" s="47"/>
      <c r="I58" s="47"/>
      <c r="J58" s="47"/>
      <c r="K58" s="47"/>
      <c r="L58" s="47"/>
      <c r="M58" s="47"/>
      <c r="N58" s="47"/>
    </row>
    <row r="59" spans="2:14" ht="38.1" customHeight="1">
      <c r="B59" s="10" t="str">
        <f>Tarifas!B37</f>
        <v>Programática</v>
      </c>
      <c r="C59" s="10" t="str">
        <f>Tarifas!C37</f>
        <v>Display premium local</v>
      </c>
      <c r="D59" s="36">
        <f>Tarifas!E37</f>
        <v>9.1999999999999993</v>
      </c>
      <c r="E59" s="40">
        <f>ROUNDDOWN(E27/$D59*1000,0)</f>
        <v>313043</v>
      </c>
      <c r="F59" s="40">
        <f>ROUNDDOWN(F27/$D59*1000,0)</f>
        <v>208695</v>
      </c>
      <c r="G59" s="40">
        <f>ROUNDDOWN(G27/$D59*1000,0)</f>
        <v>173913</v>
      </c>
      <c r="H59" s="40">
        <f>SUM(E59:G59)</f>
        <v>695651</v>
      </c>
      <c r="I59" s="11">
        <f>I27</f>
        <v>6400</v>
      </c>
      <c r="J59" s="13">
        <f>I59/$C$21</f>
        <v>0.05</v>
      </c>
      <c r="K59" s="9"/>
      <c r="L59" s="9"/>
      <c r="M59" s="9"/>
      <c r="N59" s="9"/>
    </row>
    <row r="60" spans="2:14" ht="30" customHeight="1">
      <c r="B60" s="19" t="s">
        <v>150</v>
      </c>
      <c r="C60" s="19"/>
      <c r="D60" s="19"/>
      <c r="E60" s="19"/>
      <c r="F60" s="19"/>
      <c r="G60" s="19"/>
      <c r="H60" s="19"/>
      <c r="I60" s="20">
        <f>SUM(I59:I59)</f>
        <v>6400</v>
      </c>
      <c r="J60" s="19"/>
      <c r="K60" s="19"/>
      <c r="L60" s="19"/>
      <c r="M60" s="19"/>
      <c r="N60" s="19"/>
    </row>
    <row r="61" spans="2:14" ht="24.95" customHeight="1">
      <c r="B61" s="47" t="s">
        <v>47</v>
      </c>
      <c r="C61" s="47"/>
      <c r="D61" s="47"/>
      <c r="E61" s="47"/>
      <c r="F61" s="47"/>
      <c r="G61" s="47"/>
      <c r="H61" s="47"/>
      <c r="I61" s="47"/>
      <c r="J61" s="47"/>
      <c r="K61" s="47"/>
      <c r="L61" s="47"/>
      <c r="M61" s="47"/>
      <c r="N61" s="47"/>
    </row>
    <row r="62" spans="2:14" ht="38.1" customHeight="1">
      <c r="B62" s="10" t="str">
        <f>Tarifas!B39</f>
        <v>Creadores e integraciones</v>
      </c>
      <c r="C62" s="10" t="str">
        <f>Tarifas!C39</f>
        <v>1 video + 2 Stories</v>
      </c>
      <c r="D62" s="36">
        <f>Tarifas!E39</f>
        <v>2875</v>
      </c>
      <c r="E62" s="37">
        <f>E28/$D$28</f>
        <v>3.1418747826086952</v>
      </c>
      <c r="F62" s="37">
        <f>F28/$D$28</f>
        <v>1.963673043478261</v>
      </c>
      <c r="G62" s="37">
        <f>G28/$D$28</f>
        <v>1.5709356521739128</v>
      </c>
      <c r="H62" s="37">
        <f>SUM(E62:G62)</f>
        <v>6.6764834782608693</v>
      </c>
      <c r="I62" s="11">
        <f>I28</f>
        <v>19194.89</v>
      </c>
      <c r="J62" s="13">
        <f>I62/$C$21</f>
        <v>0.14996007812500001</v>
      </c>
      <c r="K62" s="9"/>
      <c r="L62" s="9"/>
      <c r="M62" s="9"/>
      <c r="N62" s="9"/>
    </row>
    <row r="63" spans="2:14" ht="30" customHeight="1">
      <c r="B63" s="19" t="s">
        <v>105</v>
      </c>
      <c r="C63" s="19"/>
      <c r="D63" s="19"/>
      <c r="E63" s="19"/>
      <c r="F63" s="19"/>
      <c r="G63" s="19"/>
      <c r="H63" s="19"/>
      <c r="I63" s="20">
        <f>SUM(I62:I62)</f>
        <v>19194.89</v>
      </c>
      <c r="J63" s="19"/>
      <c r="K63" s="19"/>
      <c r="L63" s="19"/>
      <c r="M63" s="19"/>
      <c r="N63" s="19"/>
    </row>
    <row r="64" spans="2:14" ht="27.95" customHeight="1">
      <c r="B64" s="45" t="s">
        <v>106</v>
      </c>
      <c r="C64" s="45"/>
      <c r="D64" s="45"/>
      <c r="E64" s="45"/>
      <c r="F64" s="45"/>
      <c r="G64" s="45"/>
      <c r="H64" s="45"/>
      <c r="I64" s="45"/>
      <c r="J64" s="45"/>
      <c r="K64" s="45"/>
      <c r="L64" s="45"/>
      <c r="M64" s="45"/>
      <c r="N64" s="45"/>
    </row>
    <row r="66" spans="2:14" ht="24.95" customHeight="1">
      <c r="B66" s="47" t="s">
        <v>136</v>
      </c>
      <c r="C66" s="47"/>
      <c r="D66" s="47"/>
      <c r="E66" s="47"/>
      <c r="F66" s="47"/>
      <c r="G66" s="47"/>
      <c r="H66" s="47"/>
      <c r="I66" s="47"/>
      <c r="J66" s="47"/>
      <c r="K66" s="47"/>
      <c r="L66" s="47"/>
      <c r="M66" s="47"/>
      <c r="N66" s="47"/>
    </row>
    <row r="67" spans="2:14" ht="42" customHeight="1">
      <c r="B67" s="6" t="s">
        <v>38</v>
      </c>
      <c r="C67" s="7" t="s">
        <v>137</v>
      </c>
      <c r="D67" s="7" t="s">
        <v>138</v>
      </c>
      <c r="E67" s="7" t="s">
        <v>139</v>
      </c>
      <c r="F67" s="50" t="s">
        <v>140</v>
      </c>
      <c r="G67" s="51"/>
      <c r="H67" s="51"/>
      <c r="I67" s="51"/>
      <c r="J67" s="51"/>
      <c r="K67" s="51"/>
      <c r="L67" s="51"/>
      <c r="M67" s="51"/>
      <c r="N67" s="51"/>
    </row>
    <row r="68" spans="2:14" ht="60" customHeight="1">
      <c r="B68" s="10" t="s">
        <v>8</v>
      </c>
      <c r="C68" s="10" t="s">
        <v>141</v>
      </c>
      <c r="D68" s="10" t="s">
        <v>141</v>
      </c>
      <c r="E68" s="43" t="s">
        <v>141</v>
      </c>
      <c r="F68" s="48" t="s">
        <v>142</v>
      </c>
      <c r="G68" s="48"/>
      <c r="H68" s="48"/>
      <c r="I68" s="48"/>
      <c r="J68" s="48"/>
      <c r="K68" s="48"/>
      <c r="L68" s="48"/>
      <c r="M68" s="48"/>
      <c r="N68" s="48"/>
    </row>
    <row r="69" spans="2:14" ht="60" customHeight="1">
      <c r="B69" s="15" t="s">
        <v>43</v>
      </c>
      <c r="C69" s="15" t="s">
        <v>141</v>
      </c>
      <c r="D69" s="15" t="s">
        <v>141</v>
      </c>
      <c r="E69" s="44">
        <f>H25</f>
        <v>4670169</v>
      </c>
      <c r="F69" s="49" t="s">
        <v>144</v>
      </c>
      <c r="G69" s="49"/>
      <c r="H69" s="49"/>
      <c r="I69" s="49"/>
      <c r="J69" s="49"/>
      <c r="K69" s="49"/>
      <c r="L69" s="49"/>
      <c r="M69" s="49"/>
      <c r="N69" s="49"/>
    </row>
    <row r="70" spans="2:14" ht="60" customHeight="1">
      <c r="B70" s="10" t="s">
        <v>44</v>
      </c>
      <c r="C70" s="10" t="s">
        <v>141</v>
      </c>
      <c r="D70" s="10" t="s">
        <v>141</v>
      </c>
      <c r="E70" s="43">
        <f>H26</f>
        <v>5565216</v>
      </c>
      <c r="F70" s="48" t="s">
        <v>144</v>
      </c>
      <c r="G70" s="48"/>
      <c r="H70" s="48"/>
      <c r="I70" s="48"/>
      <c r="J70" s="48"/>
      <c r="K70" s="48"/>
      <c r="L70" s="48"/>
      <c r="M70" s="48"/>
      <c r="N70" s="48"/>
    </row>
    <row r="71" spans="2:14" ht="60" customHeight="1">
      <c r="B71" s="15" t="s">
        <v>45</v>
      </c>
      <c r="C71" s="15" t="s">
        <v>141</v>
      </c>
      <c r="D71" s="15" t="s">
        <v>141</v>
      </c>
      <c r="E71" s="44">
        <f>H27</f>
        <v>695651</v>
      </c>
      <c r="F71" s="49" t="s">
        <v>144</v>
      </c>
      <c r="G71" s="49"/>
      <c r="H71" s="49"/>
      <c r="I71" s="49"/>
      <c r="J71" s="49"/>
      <c r="K71" s="49"/>
      <c r="L71" s="49"/>
      <c r="M71" s="49"/>
      <c r="N71" s="49"/>
    </row>
    <row r="72" spans="2:14" ht="60" customHeight="1">
      <c r="B72" s="10" t="s">
        <v>47</v>
      </c>
      <c r="C72" s="10" t="s">
        <v>141</v>
      </c>
      <c r="D72" s="10" t="s">
        <v>141</v>
      </c>
      <c r="E72" s="43" t="s">
        <v>141</v>
      </c>
      <c r="F72" s="48" t="s">
        <v>151</v>
      </c>
      <c r="G72" s="48"/>
      <c r="H72" s="48"/>
      <c r="I72" s="48"/>
      <c r="J72" s="48"/>
      <c r="K72" s="48"/>
      <c r="L72" s="48"/>
      <c r="M72" s="48"/>
      <c r="N72" s="48"/>
    </row>
    <row r="76" spans="2:14" ht="24.95" customHeight="1">
      <c r="B76" s="47" t="s">
        <v>187</v>
      </c>
      <c r="C76" s="47"/>
      <c r="D76" s="47"/>
      <c r="E76" s="47"/>
      <c r="F76" s="47"/>
      <c r="G76" s="47"/>
      <c r="H76" s="47"/>
      <c r="I76" s="47"/>
      <c r="J76" s="47"/>
      <c r="K76" s="47"/>
      <c r="L76" s="47"/>
      <c r="M76" s="47"/>
      <c r="N76" s="47"/>
    </row>
    <row r="77" spans="2:14" ht="32.1" customHeight="1">
      <c r="B77" s="45" t="s">
        <v>188</v>
      </c>
      <c r="C77" s="45"/>
      <c r="D77" s="45"/>
      <c r="E77" s="45"/>
      <c r="F77" s="45"/>
      <c r="G77" s="45"/>
      <c r="H77" s="45"/>
      <c r="I77" s="45"/>
      <c r="J77" s="45"/>
      <c r="K77" s="45"/>
      <c r="L77" s="45"/>
      <c r="M77" s="45"/>
      <c r="N77" s="45"/>
    </row>
    <row r="78" spans="2:14" ht="32.1" customHeight="1">
      <c r="B78" s="45" t="s">
        <v>189</v>
      </c>
      <c r="C78" s="45"/>
      <c r="D78" s="45"/>
      <c r="E78" s="45"/>
      <c r="F78" s="45"/>
      <c r="G78" s="45"/>
      <c r="H78" s="45"/>
      <c r="I78" s="45"/>
      <c r="J78" s="45"/>
      <c r="K78" s="45"/>
      <c r="L78" s="45"/>
      <c r="M78" s="45"/>
      <c r="N78" s="45"/>
    </row>
    <row r="79" spans="2:14" ht="33.950000000000003" customHeight="1">
      <c r="B79" s="45" t="s">
        <v>190</v>
      </c>
      <c r="C79" s="45"/>
      <c r="D79" s="45"/>
      <c r="E79" s="45"/>
      <c r="F79" s="45"/>
      <c r="G79" s="45"/>
      <c r="H79" s="45"/>
      <c r="I79" s="45"/>
      <c r="J79" s="45"/>
      <c r="K79" s="45"/>
      <c r="L79" s="45"/>
      <c r="M79" s="45"/>
      <c r="N79" s="45"/>
    </row>
    <row r="80" spans="2:14">
      <c r="B80" s="2" t="s">
        <v>61</v>
      </c>
      <c r="C80" s="35">
        <f>'AGA y criterios'!D38</f>
        <v>70000</v>
      </c>
    </row>
    <row r="82" spans="2:14" ht="42" customHeight="1">
      <c r="B82" s="6" t="s">
        <v>38</v>
      </c>
      <c r="C82" s="7" t="s">
        <v>63</v>
      </c>
      <c r="D82" s="7" t="s">
        <v>64</v>
      </c>
      <c r="E82" s="7" t="s">
        <v>135</v>
      </c>
      <c r="F82" s="7" t="s">
        <v>119</v>
      </c>
      <c r="G82" s="7" t="s">
        <v>71</v>
      </c>
      <c r="H82" s="7" t="s">
        <v>72</v>
      </c>
      <c r="I82" s="7" t="s">
        <v>2</v>
      </c>
      <c r="J82" s="8" t="s">
        <v>13</v>
      </c>
    </row>
    <row r="83" spans="2:14" ht="30.95" customHeight="1">
      <c r="B83" s="10" t="s">
        <v>8</v>
      </c>
      <c r="C83" s="10" t="s">
        <v>73</v>
      </c>
      <c r="D83" s="36">
        <f>SUM(Tarifas!E7:E12)</f>
        <v>10068.25</v>
      </c>
      <c r="E83" s="11">
        <f>ROUND($C$80*('Base de distribución'!E114/SUM('Base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6487.27</v>
      </c>
      <c r="F83" s="11">
        <f>ROUND($C$80*('Base de distribución'!E115/SUM('Base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4324.8500000000004</v>
      </c>
      <c r="G83" s="11">
        <f>ROUND($C$80*('Base de distribución'!E116/SUM('Base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2162.4299999999998</v>
      </c>
      <c r="H83" s="37">
        <f>SUM(H104:H109)</f>
        <v>7.7319593772502664</v>
      </c>
      <c r="I83" s="11">
        <f>SUM(E83:G83)</f>
        <v>12974.550000000001</v>
      </c>
      <c r="J83" s="13">
        <f>I83/$C$80</f>
        <v>0.18535071428571431</v>
      </c>
      <c r="K83" s="9"/>
      <c r="L83" s="9"/>
      <c r="M83" s="9"/>
      <c r="N83" s="9"/>
    </row>
    <row r="84" spans="2:14" ht="30.95" customHeight="1">
      <c r="B84" s="15" t="s">
        <v>43</v>
      </c>
      <c r="C84" s="15" t="s">
        <v>75</v>
      </c>
      <c r="D84" s="38">
        <f>Tarifas!E35</f>
        <v>8.625</v>
      </c>
      <c r="E84" s="16">
        <f>ROUND($C$80*('Base de distribución'!E117/SUM('Base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9047.86</v>
      </c>
      <c r="F84" s="16">
        <f>ROUND($C$80*('Base de distribución'!E118/SUM('Base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6237.74</v>
      </c>
      <c r="G84" s="16">
        <f>ROUND($C$80*('Base de distribución'!E119/SUM('Base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6742.64</v>
      </c>
      <c r="H84" s="41">
        <f>SUM(H112:H112)</f>
        <v>2553998</v>
      </c>
      <c r="I84" s="16">
        <f>SUM(E84:G84)</f>
        <v>22028.240000000002</v>
      </c>
      <c r="J84" s="18">
        <f>I84/$C$80</f>
        <v>0.31468914285714289</v>
      </c>
      <c r="K84" s="14"/>
      <c r="L84" s="14"/>
      <c r="M84" s="14"/>
      <c r="N84" s="14"/>
    </row>
    <row r="85" spans="2:14" ht="30.95" customHeight="1">
      <c r="B85" s="10" t="s">
        <v>44</v>
      </c>
      <c r="C85" s="10" t="s">
        <v>75</v>
      </c>
      <c r="D85" s="36">
        <f>Tarifas!E36</f>
        <v>6.9</v>
      </c>
      <c r="E85" s="11">
        <f>ROUND($C$80*('Base de distribución'!E120/SUM('Base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9450</v>
      </c>
      <c r="F85" s="11">
        <f>ROUND($C$80*('Base de distribución'!E121/SUM('Base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6300</v>
      </c>
      <c r="G85" s="11">
        <f>ROUND($C$80*('Base de distribución'!E122/SUM('Base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5250</v>
      </c>
      <c r="H85" s="40">
        <f>SUM(H115:H115)</f>
        <v>3043477</v>
      </c>
      <c r="I85" s="11">
        <f>SUM(E85:G85)</f>
        <v>21000</v>
      </c>
      <c r="J85" s="13">
        <f>I85/$C$80</f>
        <v>0.3</v>
      </c>
      <c r="K85" s="9"/>
      <c r="L85" s="9"/>
      <c r="M85" s="9"/>
      <c r="N85" s="9"/>
    </row>
    <row r="86" spans="2:14" ht="30.95" customHeight="1">
      <c r="B86" s="15" t="s">
        <v>45</v>
      </c>
      <c r="C86" s="15" t="s">
        <v>75</v>
      </c>
      <c r="D86" s="38">
        <f>Tarifas!E37</f>
        <v>9.1999999999999993</v>
      </c>
      <c r="E86" s="16">
        <f>ROUND($C$80*('Base de distribución'!E123/SUM('Base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1575</v>
      </c>
      <c r="F86" s="16">
        <f>ROUND($C$80*('Base de distribución'!E124/SUM('Base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1050</v>
      </c>
      <c r="G86" s="16">
        <f>ROUND($C$80*('Base de distribución'!E125/SUM('Base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875</v>
      </c>
      <c r="H86" s="41">
        <f>SUM(H118:H118)</f>
        <v>380433</v>
      </c>
      <c r="I86" s="16">
        <f>SUM(E86:G86)</f>
        <v>3500</v>
      </c>
      <c r="J86" s="18">
        <f>I86/$C$80</f>
        <v>0.05</v>
      </c>
      <c r="K86" s="14"/>
      <c r="L86" s="14"/>
      <c r="M86" s="14"/>
      <c r="N86" s="14"/>
    </row>
    <row r="87" spans="2:14" ht="30.95" customHeight="1">
      <c r="B87" s="10" t="s">
        <v>47</v>
      </c>
      <c r="C87" s="10" t="s">
        <v>77</v>
      </c>
      <c r="D87" s="36">
        <f>Tarifas!E39</f>
        <v>2875</v>
      </c>
      <c r="E87" s="11">
        <f>ROUND($C$80*('Base de distribución'!E126/SUM('Base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4939.8599999999997</v>
      </c>
      <c r="F87" s="11">
        <f>ROUND($C$80*('Base de distribución'!E127/SUM('Base de distribución'!E114,'Base de distribución'!E115,'Base de distribución'!E116,'Base de distribución'!E117,'Base de distribución'!E118,'Base de distribución'!E119,'Base de distribución'!E120,'Base de distribución'!E121,'Base de distribución'!E122,'Base de distribución'!E123,'Base de distribución'!E124,'Base de distribución'!E125,'Base de distribución'!E126,'Base de distribución'!E127,'Base de distribución'!E128)),2)</f>
        <v>3087.41</v>
      </c>
      <c r="G87" s="11">
        <f>ROUND($C$80-SUM(E83:G83,E84:G84,E85:G85,E86:G86,E87:F87),2)</f>
        <v>2469.94</v>
      </c>
      <c r="H87" s="37">
        <f>H121*Tarifas!F39</f>
        <v>10.953610434782608</v>
      </c>
      <c r="I87" s="11">
        <f>SUM(E87:G87)</f>
        <v>10497.21</v>
      </c>
      <c r="J87" s="13">
        <f>I87/$C$80</f>
        <v>0.14996014285714285</v>
      </c>
      <c r="K87" s="9"/>
      <c r="L87" s="9"/>
      <c r="M87" s="9"/>
      <c r="N87" s="9"/>
    </row>
    <row r="88" spans="2:14" ht="30" customHeight="1">
      <c r="B88" s="19" t="s">
        <v>78</v>
      </c>
      <c r="C88" s="19"/>
      <c r="D88" s="19"/>
      <c r="E88" s="20">
        <f>SUM(E83:E87)</f>
        <v>31499.99</v>
      </c>
      <c r="F88" s="20">
        <f>SUM(F83:F87)</f>
        <v>21000</v>
      </c>
      <c r="G88" s="20">
        <f>SUM(G83:G87)</f>
        <v>17500.009999999998</v>
      </c>
      <c r="H88" s="19"/>
      <c r="I88" s="20">
        <f>SUM(I83:I87)</f>
        <v>70000</v>
      </c>
      <c r="J88" s="22">
        <f>SUM(J83:J87)</f>
        <v>1.0000000000000002</v>
      </c>
      <c r="K88" s="19"/>
      <c r="L88" s="19"/>
      <c r="M88" s="19"/>
      <c r="N88" s="19"/>
    </row>
    <row r="89" spans="2:14">
      <c r="B89" s="2" t="s">
        <v>79</v>
      </c>
      <c r="C89" s="42">
        <f>ROUND(C80-I88,2)</f>
        <v>0</v>
      </c>
    </row>
    <row r="90" spans="2:14" ht="32.1" customHeight="1">
      <c r="B90" s="45" t="s">
        <v>80</v>
      </c>
      <c r="C90" s="45"/>
      <c r="D90" s="45"/>
      <c r="E90" s="45"/>
      <c r="F90" s="45"/>
      <c r="G90" s="45"/>
      <c r="H90" s="45"/>
      <c r="I90" s="45"/>
      <c r="J90" s="45"/>
      <c r="K90" s="45"/>
      <c r="L90" s="45"/>
      <c r="M90" s="45"/>
      <c r="N90" s="45"/>
    </row>
    <row r="91" spans="2:14" ht="32.1" customHeight="1">
      <c r="B91" s="45" t="s">
        <v>81</v>
      </c>
      <c r="C91" s="45"/>
      <c r="D91" s="45"/>
      <c r="E91" s="45"/>
      <c r="F91" s="45"/>
      <c r="G91" s="45"/>
      <c r="H91" s="45"/>
      <c r="I91" s="45"/>
      <c r="J91" s="45"/>
      <c r="K91" s="45"/>
      <c r="L91" s="45"/>
      <c r="M91" s="45"/>
      <c r="N91" s="45"/>
    </row>
    <row r="93" spans="2:14" ht="24.95" customHeight="1">
      <c r="B93" s="47" t="s">
        <v>82</v>
      </c>
      <c r="C93" s="47"/>
      <c r="D93" s="47"/>
      <c r="E93" s="47"/>
      <c r="F93" s="47"/>
      <c r="G93" s="47"/>
      <c r="H93" s="47"/>
      <c r="I93" s="47"/>
      <c r="J93" s="47"/>
      <c r="K93" s="47"/>
      <c r="L93" s="47"/>
      <c r="M93" s="47"/>
      <c r="N93" s="47"/>
    </row>
    <row r="94" spans="2:14" ht="42" customHeight="1">
      <c r="B94" s="6" t="s">
        <v>38</v>
      </c>
      <c r="C94" s="7" t="s">
        <v>83</v>
      </c>
      <c r="D94" s="7" t="s">
        <v>84</v>
      </c>
      <c r="E94" s="7" t="s">
        <v>135</v>
      </c>
      <c r="F94" s="7" t="s">
        <v>119</v>
      </c>
      <c r="G94" s="8" t="s">
        <v>71</v>
      </c>
    </row>
    <row r="95" spans="2:14" ht="44.1" customHeight="1">
      <c r="B95" s="10" t="s">
        <v>8</v>
      </c>
      <c r="C95" s="10" t="s">
        <v>85</v>
      </c>
      <c r="D95" s="10" t="s">
        <v>86</v>
      </c>
      <c r="E95" s="9" t="s">
        <v>135</v>
      </c>
      <c r="F95" s="9" t="s">
        <v>119</v>
      </c>
      <c r="G95" s="9" t="s">
        <v>71</v>
      </c>
      <c r="H95" s="9"/>
      <c r="I95" s="9"/>
      <c r="J95" s="9"/>
      <c r="K95" s="9"/>
      <c r="L95" s="9"/>
      <c r="M95" s="9"/>
      <c r="N95" s="9"/>
    </row>
    <row r="96" spans="2:14" ht="44.1" customHeight="1">
      <c r="B96" s="15" t="s">
        <v>43</v>
      </c>
      <c r="C96" s="15" t="s">
        <v>89</v>
      </c>
      <c r="D96" s="15" t="s">
        <v>86</v>
      </c>
      <c r="E96" s="14" t="s">
        <v>135</v>
      </c>
      <c r="F96" s="14" t="s">
        <v>119</v>
      </c>
      <c r="G96" s="14" t="s">
        <v>71</v>
      </c>
      <c r="H96" s="14"/>
      <c r="I96" s="14"/>
      <c r="J96" s="14"/>
      <c r="K96" s="14"/>
      <c r="L96" s="14"/>
      <c r="M96" s="14"/>
      <c r="N96" s="14"/>
    </row>
    <row r="97" spans="2:14" ht="44.1" customHeight="1">
      <c r="B97" s="10" t="s">
        <v>44</v>
      </c>
      <c r="C97" s="10" t="s">
        <v>90</v>
      </c>
      <c r="D97" s="10" t="s">
        <v>86</v>
      </c>
      <c r="E97" s="9" t="s">
        <v>135</v>
      </c>
      <c r="F97" s="9" t="s">
        <v>119</v>
      </c>
      <c r="G97" s="9" t="s">
        <v>71</v>
      </c>
      <c r="H97" s="9"/>
      <c r="I97" s="9"/>
      <c r="J97" s="9"/>
      <c r="K97" s="9"/>
      <c r="L97" s="9"/>
      <c r="M97" s="9"/>
      <c r="N97" s="9"/>
    </row>
    <row r="98" spans="2:14" ht="44.1" customHeight="1">
      <c r="B98" s="15" t="s">
        <v>45</v>
      </c>
      <c r="C98" s="15" t="s">
        <v>149</v>
      </c>
      <c r="D98" s="15" t="s">
        <v>86</v>
      </c>
      <c r="E98" s="14" t="s">
        <v>135</v>
      </c>
      <c r="F98" s="14" t="s">
        <v>119</v>
      </c>
      <c r="G98" s="14" t="s">
        <v>71</v>
      </c>
      <c r="H98" s="14"/>
      <c r="I98" s="14"/>
      <c r="J98" s="14"/>
      <c r="K98" s="14"/>
      <c r="L98" s="14"/>
      <c r="M98" s="14"/>
      <c r="N98" s="14"/>
    </row>
    <row r="99" spans="2:14" ht="44.1" customHeight="1">
      <c r="B99" s="10" t="s">
        <v>47</v>
      </c>
      <c r="C99" s="10" t="s">
        <v>92</v>
      </c>
      <c r="D99" s="10" t="s">
        <v>86</v>
      </c>
      <c r="E99" s="9" t="s">
        <v>135</v>
      </c>
      <c r="F99" s="9" t="s">
        <v>119</v>
      </c>
      <c r="G99" s="9" t="s">
        <v>71</v>
      </c>
      <c r="H99" s="9"/>
      <c r="I99" s="9"/>
      <c r="J99" s="9"/>
      <c r="K99" s="9"/>
      <c r="L99" s="9"/>
      <c r="M99" s="9"/>
      <c r="N99" s="9"/>
    </row>
    <row r="101" spans="2:14" ht="24.95" customHeight="1">
      <c r="B101" s="47" t="s">
        <v>93</v>
      </c>
      <c r="C101" s="47"/>
      <c r="D101" s="47"/>
      <c r="E101" s="47"/>
      <c r="F101" s="47"/>
      <c r="G101" s="47"/>
      <c r="H101" s="47"/>
      <c r="I101" s="47"/>
      <c r="J101" s="47"/>
      <c r="K101" s="47"/>
      <c r="L101" s="47"/>
      <c r="M101" s="47"/>
      <c r="N101" s="47"/>
    </row>
    <row r="102" spans="2:14" ht="42" customHeight="1">
      <c r="B102" s="6" t="s">
        <v>94</v>
      </c>
      <c r="C102" s="7" t="s">
        <v>95</v>
      </c>
      <c r="D102" s="7" t="s">
        <v>64</v>
      </c>
      <c r="E102" s="7" t="s">
        <v>135</v>
      </c>
      <c r="F102" s="7" t="s">
        <v>119</v>
      </c>
      <c r="G102" s="7" t="s">
        <v>71</v>
      </c>
      <c r="H102" s="7" t="s">
        <v>96</v>
      </c>
      <c r="I102" s="7" t="s">
        <v>2</v>
      </c>
      <c r="J102" s="8" t="s">
        <v>97</v>
      </c>
    </row>
    <row r="103" spans="2:14" ht="24.95" customHeight="1">
      <c r="B103" s="47" t="s">
        <v>8</v>
      </c>
      <c r="C103" s="47"/>
      <c r="D103" s="47"/>
      <c r="E103" s="47"/>
      <c r="F103" s="47"/>
      <c r="G103" s="47"/>
      <c r="H103" s="47"/>
      <c r="I103" s="47"/>
      <c r="J103" s="47"/>
      <c r="K103" s="47"/>
      <c r="L103" s="47"/>
      <c r="M103" s="47"/>
      <c r="N103" s="47"/>
    </row>
    <row r="104" spans="2:14" ht="38.1" customHeight="1">
      <c r="B104" s="10" t="str">
        <f>Tarifas!B7</f>
        <v>Telemundo</v>
      </c>
      <c r="C104" s="10" t="str">
        <f>Tarifas!C7</f>
        <v>Dia a Dia</v>
      </c>
      <c r="D104" s="36">
        <f>Tarifas!E7</f>
        <v>782</v>
      </c>
      <c r="E104" s="37">
        <f>E83/$D$83</f>
        <v>0.64432945149355647</v>
      </c>
      <c r="F104" s="37">
        <f>F83/$D$83</f>
        <v>0.42955329873612597</v>
      </c>
      <c r="G104" s="37">
        <f>G83/$D$83</f>
        <v>0.21477714597869538</v>
      </c>
      <c r="H104" s="37">
        <f t="shared" ref="H104:H109" si="3">SUM(E104:G104)</f>
        <v>1.2886598962083777</v>
      </c>
      <c r="I104" s="11">
        <f>ROUND(H104*D104,2)</f>
        <v>1007.73</v>
      </c>
      <c r="J104" s="13">
        <f t="shared" ref="J104:J109" si="4">I104/$C$80</f>
        <v>1.4396142857142857E-2</v>
      </c>
      <c r="K104" s="9"/>
      <c r="L104" s="9"/>
      <c r="M104" s="9"/>
      <c r="N104" s="9"/>
    </row>
    <row r="105" spans="2:14" ht="38.1" customHeight="1">
      <c r="B105" s="15" t="str">
        <f>Tarifas!B8</f>
        <v>Telemundo</v>
      </c>
      <c r="C105" s="15" t="str">
        <f>Tarifas!C8</f>
        <v>PR Gana 6pm (M,W,T,f,Su)</v>
      </c>
      <c r="D105" s="38">
        <f>Tarifas!E8</f>
        <v>2541.5</v>
      </c>
      <c r="E105" s="39">
        <f>E83/$D$83</f>
        <v>0.64432945149355647</v>
      </c>
      <c r="F105" s="39">
        <f>F83/$D$83</f>
        <v>0.42955329873612597</v>
      </c>
      <c r="G105" s="39">
        <f>G83/$D$83</f>
        <v>0.21477714597869538</v>
      </c>
      <c r="H105" s="39">
        <f t="shared" si="3"/>
        <v>1.2886598962083777</v>
      </c>
      <c r="I105" s="16">
        <f>ROUND(H105*D105,2)</f>
        <v>3275.13</v>
      </c>
      <c r="J105" s="18">
        <f t="shared" si="4"/>
        <v>4.6787571428571428E-2</v>
      </c>
      <c r="K105" s="14"/>
      <c r="L105" s="14"/>
      <c r="M105" s="14"/>
      <c r="N105" s="14"/>
    </row>
    <row r="106" spans="2:14" ht="38.1" customHeight="1">
      <c r="B106" s="10" t="str">
        <f>Tarifas!B9</f>
        <v>WAPA</v>
      </c>
      <c r="C106" s="10" t="str">
        <f>Tarifas!C9</f>
        <v>Pegate al MedioDIa</v>
      </c>
      <c r="D106" s="36">
        <f>Tarifas!E9</f>
        <v>977.5</v>
      </c>
      <c r="E106" s="37">
        <f>E83/$D$83</f>
        <v>0.64432945149355647</v>
      </c>
      <c r="F106" s="37">
        <f>F83/$D$83</f>
        <v>0.42955329873612597</v>
      </c>
      <c r="G106" s="37">
        <f>G83/$D$83</f>
        <v>0.21477714597869538</v>
      </c>
      <c r="H106" s="37">
        <f t="shared" si="3"/>
        <v>1.2886598962083777</v>
      </c>
      <c r="I106" s="11">
        <f>ROUND(H106*D106,2)</f>
        <v>1259.67</v>
      </c>
      <c r="J106" s="13">
        <f t="shared" si="4"/>
        <v>1.7995285714285714E-2</v>
      </c>
      <c r="K106" s="9"/>
      <c r="L106" s="9"/>
      <c r="M106" s="9"/>
      <c r="N106" s="9"/>
    </row>
    <row r="107" spans="2:14" ht="38.1" customHeight="1">
      <c r="B107" s="15" t="str">
        <f>Tarifas!B10</f>
        <v>WAPA</v>
      </c>
      <c r="C107" s="15" t="str">
        <f>Tarifas!C10</f>
        <v>Reality-Funcion Estelar 7p</v>
      </c>
      <c r="D107" s="38">
        <f>Tarifas!E10</f>
        <v>3519</v>
      </c>
      <c r="E107" s="39">
        <f>E83/$D$83</f>
        <v>0.64432945149355647</v>
      </c>
      <c r="F107" s="39">
        <f>F83/$D$83</f>
        <v>0.42955329873612597</v>
      </c>
      <c r="G107" s="39">
        <f>G83/$D$83</f>
        <v>0.21477714597869538</v>
      </c>
      <c r="H107" s="39">
        <f t="shared" si="3"/>
        <v>1.2886598962083777</v>
      </c>
      <c r="I107" s="16">
        <f>ROUND(H107*D107,2)</f>
        <v>4534.79</v>
      </c>
      <c r="J107" s="18">
        <f t="shared" si="4"/>
        <v>6.4782714285714291E-2</v>
      </c>
      <c r="K107" s="14"/>
      <c r="L107" s="14"/>
      <c r="M107" s="14"/>
      <c r="N107" s="14"/>
    </row>
    <row r="108" spans="2:14" ht="38.1" customHeight="1">
      <c r="B108" s="10" t="str">
        <f>Tarifas!B11</f>
        <v>TeleOnce</v>
      </c>
      <c r="C108" s="10" t="str">
        <f>Tarifas!C11</f>
        <v>PR en Vivo</v>
      </c>
      <c r="D108" s="36">
        <f>Tarifas!E11</f>
        <v>586.5</v>
      </c>
      <c r="E108" s="37">
        <f>E83/$D$83</f>
        <v>0.64432945149355647</v>
      </c>
      <c r="F108" s="37">
        <f>F83/$D$83</f>
        <v>0.42955329873612597</v>
      </c>
      <c r="G108" s="37">
        <f>G83/$D$83</f>
        <v>0.21477714597869538</v>
      </c>
      <c r="H108" s="37">
        <f t="shared" si="3"/>
        <v>1.2886598962083777</v>
      </c>
      <c r="I108" s="11">
        <f>ROUND(H108*D108,2)</f>
        <v>755.8</v>
      </c>
      <c r="J108" s="13">
        <f t="shared" si="4"/>
        <v>1.0797142857142856E-2</v>
      </c>
      <c r="K108" s="9"/>
      <c r="L108" s="9"/>
      <c r="M108" s="9"/>
      <c r="N108" s="9"/>
    </row>
    <row r="109" spans="2:14" ht="38.1" customHeight="1">
      <c r="B109" s="15" t="str">
        <f>Tarifas!B12</f>
        <v>TeleOnce</v>
      </c>
      <c r="C109" s="15" t="str">
        <f>Tarifas!C12</f>
        <v>Las Noticias Prime</v>
      </c>
      <c r="D109" s="38">
        <f>Tarifas!E12</f>
        <v>1661.75</v>
      </c>
      <c r="E109" s="39">
        <f>E83/$D$83</f>
        <v>0.64432945149355647</v>
      </c>
      <c r="F109" s="39">
        <f>F83/$D$83</f>
        <v>0.42955329873612597</v>
      </c>
      <c r="G109" s="39">
        <f>G83/$D$83</f>
        <v>0.21477714597869538</v>
      </c>
      <c r="H109" s="39">
        <f t="shared" si="3"/>
        <v>1.2886598962083777</v>
      </c>
      <c r="I109" s="16">
        <f>ROUND(I83-SUM(I104:I108),2)</f>
        <v>2141.4299999999998</v>
      </c>
      <c r="J109" s="18">
        <f t="shared" si="4"/>
        <v>3.0591857142857139E-2</v>
      </c>
      <c r="K109" s="14"/>
      <c r="L109" s="14"/>
      <c r="M109" s="14"/>
      <c r="N109" s="14"/>
    </row>
    <row r="110" spans="2:14" ht="30" customHeight="1">
      <c r="B110" s="19" t="s">
        <v>98</v>
      </c>
      <c r="C110" s="19"/>
      <c r="D110" s="19"/>
      <c r="E110" s="19"/>
      <c r="F110" s="19"/>
      <c r="G110" s="19"/>
      <c r="H110" s="19"/>
      <c r="I110" s="20">
        <f>SUM(I104:I109)</f>
        <v>12974.55</v>
      </c>
      <c r="J110" s="19"/>
      <c r="K110" s="19"/>
      <c r="L110" s="19"/>
      <c r="M110" s="19"/>
      <c r="N110" s="19"/>
    </row>
    <row r="111" spans="2:14" ht="24.95" customHeight="1">
      <c r="B111" s="47" t="s">
        <v>43</v>
      </c>
      <c r="C111" s="47"/>
      <c r="D111" s="47"/>
      <c r="E111" s="47"/>
      <c r="F111" s="47"/>
      <c r="G111" s="47"/>
      <c r="H111" s="47"/>
      <c r="I111" s="47"/>
      <c r="J111" s="47"/>
      <c r="K111" s="47"/>
      <c r="L111" s="47"/>
      <c r="M111" s="47"/>
      <c r="N111" s="47"/>
    </row>
    <row r="112" spans="2:14" ht="38.1" customHeight="1">
      <c r="B112" s="10" t="str">
        <f>Tarifas!B35</f>
        <v>Meta</v>
      </c>
      <c r="C112" s="10" t="str">
        <f>Tarifas!C35</f>
        <v>Video / Reels / Stories</v>
      </c>
      <c r="D112" s="36">
        <f>Tarifas!E35</f>
        <v>8.625</v>
      </c>
      <c r="E112" s="40">
        <f>ROUNDDOWN(E84/$D112*1000,0)</f>
        <v>1049027</v>
      </c>
      <c r="F112" s="40">
        <f>ROUNDDOWN(F84/$D112*1000,0)</f>
        <v>723216</v>
      </c>
      <c r="G112" s="40">
        <f>ROUNDDOWN(G84/$D112*1000,0)</f>
        <v>781755</v>
      </c>
      <c r="H112" s="40">
        <f>SUM(E112:G112)</f>
        <v>2553998</v>
      </c>
      <c r="I112" s="11">
        <f>I84</f>
        <v>22028.240000000002</v>
      </c>
      <c r="J112" s="13">
        <f>I112/$C$80</f>
        <v>0.31468914285714289</v>
      </c>
      <c r="K112" s="9"/>
      <c r="L112" s="9"/>
      <c r="M112" s="9"/>
      <c r="N112" s="9"/>
    </row>
    <row r="113" spans="2:14" ht="30" customHeight="1">
      <c r="B113" s="19" t="s">
        <v>102</v>
      </c>
      <c r="C113" s="19"/>
      <c r="D113" s="19"/>
      <c r="E113" s="19"/>
      <c r="F113" s="19"/>
      <c r="G113" s="19"/>
      <c r="H113" s="19"/>
      <c r="I113" s="20">
        <f>SUM(I112:I112)</f>
        <v>22028.240000000002</v>
      </c>
      <c r="J113" s="19"/>
      <c r="K113" s="19"/>
      <c r="L113" s="19"/>
      <c r="M113" s="19"/>
      <c r="N113" s="19"/>
    </row>
    <row r="114" spans="2:14" ht="24.95" customHeight="1">
      <c r="B114" s="47" t="s">
        <v>44</v>
      </c>
      <c r="C114" s="47"/>
      <c r="D114" s="47"/>
      <c r="E114" s="47"/>
      <c r="F114" s="47"/>
      <c r="G114" s="47"/>
      <c r="H114" s="47"/>
      <c r="I114" s="47"/>
      <c r="J114" s="47"/>
      <c r="K114" s="47"/>
      <c r="L114" s="47"/>
      <c r="M114" s="47"/>
      <c r="N114" s="47"/>
    </row>
    <row r="115" spans="2:14" ht="38.1" customHeight="1">
      <c r="B115" s="10" t="str">
        <f>Tarifas!B36</f>
        <v>YouTube</v>
      </c>
      <c r="C115" s="10" t="str">
        <f>Tarifas!C36</f>
        <v>Video 15–30 s</v>
      </c>
      <c r="D115" s="36">
        <f>Tarifas!E36</f>
        <v>6.9</v>
      </c>
      <c r="E115" s="40">
        <f>ROUNDDOWN(E85/$D115*1000,0)</f>
        <v>1369565</v>
      </c>
      <c r="F115" s="40">
        <f>ROUNDDOWN(F85/$D115*1000,0)</f>
        <v>913043</v>
      </c>
      <c r="G115" s="40">
        <f>ROUNDDOWN(G85/$D115*1000,0)</f>
        <v>760869</v>
      </c>
      <c r="H115" s="40">
        <f>SUM(E115:G115)</f>
        <v>3043477</v>
      </c>
      <c r="I115" s="11">
        <f>I85</f>
        <v>21000</v>
      </c>
      <c r="J115" s="13">
        <f>I115/$C$80</f>
        <v>0.3</v>
      </c>
      <c r="K115" s="9"/>
      <c r="L115" s="9"/>
      <c r="M115" s="9"/>
      <c r="N115" s="9"/>
    </row>
    <row r="116" spans="2:14" ht="30" customHeight="1">
      <c r="B116" s="19" t="s">
        <v>103</v>
      </c>
      <c r="C116" s="19"/>
      <c r="D116" s="19"/>
      <c r="E116" s="19"/>
      <c r="F116" s="19"/>
      <c r="G116" s="19"/>
      <c r="H116" s="19"/>
      <c r="I116" s="20">
        <f>SUM(I115:I115)</f>
        <v>21000</v>
      </c>
      <c r="J116" s="19"/>
      <c r="K116" s="19"/>
      <c r="L116" s="19"/>
      <c r="M116" s="19"/>
      <c r="N116" s="19"/>
    </row>
    <row r="117" spans="2:14" ht="24.95" customHeight="1">
      <c r="B117" s="47" t="s">
        <v>45</v>
      </c>
      <c r="C117" s="47"/>
      <c r="D117" s="47"/>
      <c r="E117" s="47"/>
      <c r="F117" s="47"/>
      <c r="G117" s="47"/>
      <c r="H117" s="47"/>
      <c r="I117" s="47"/>
      <c r="J117" s="47"/>
      <c r="K117" s="47"/>
      <c r="L117" s="47"/>
      <c r="M117" s="47"/>
      <c r="N117" s="47"/>
    </row>
    <row r="118" spans="2:14" ht="38.1" customHeight="1">
      <c r="B118" s="10" t="str">
        <f>Tarifas!B37</f>
        <v>Programática</v>
      </c>
      <c r="C118" s="10" t="str">
        <f>Tarifas!C37</f>
        <v>Display premium local</v>
      </c>
      <c r="D118" s="36">
        <f>Tarifas!E37</f>
        <v>9.1999999999999993</v>
      </c>
      <c r="E118" s="40">
        <f>ROUNDDOWN(E86/$D118*1000,0)</f>
        <v>171195</v>
      </c>
      <c r="F118" s="40">
        <f>ROUNDDOWN(F86/$D118*1000,0)</f>
        <v>114130</v>
      </c>
      <c r="G118" s="40">
        <f>ROUNDDOWN(G86/$D118*1000,0)</f>
        <v>95108</v>
      </c>
      <c r="H118" s="40">
        <f>SUM(E118:G118)</f>
        <v>380433</v>
      </c>
      <c r="I118" s="11">
        <f>I86</f>
        <v>3500</v>
      </c>
      <c r="J118" s="13">
        <f>I118/$C$80</f>
        <v>0.05</v>
      </c>
      <c r="K118" s="9"/>
      <c r="L118" s="9"/>
      <c r="M118" s="9"/>
      <c r="N118" s="9"/>
    </row>
    <row r="119" spans="2:14" ht="30" customHeight="1">
      <c r="B119" s="19" t="s">
        <v>150</v>
      </c>
      <c r="C119" s="19"/>
      <c r="D119" s="19"/>
      <c r="E119" s="19"/>
      <c r="F119" s="19"/>
      <c r="G119" s="19"/>
      <c r="H119" s="19"/>
      <c r="I119" s="20">
        <f>SUM(I118:I118)</f>
        <v>3500</v>
      </c>
      <c r="J119" s="19"/>
      <c r="K119" s="19"/>
      <c r="L119" s="19"/>
      <c r="M119" s="19"/>
      <c r="N119" s="19"/>
    </row>
    <row r="120" spans="2:14" ht="24.95" customHeight="1">
      <c r="B120" s="47" t="s">
        <v>47</v>
      </c>
      <c r="C120" s="47"/>
      <c r="D120" s="47"/>
      <c r="E120" s="47"/>
      <c r="F120" s="47"/>
      <c r="G120" s="47"/>
      <c r="H120" s="47"/>
      <c r="I120" s="47"/>
      <c r="J120" s="47"/>
      <c r="K120" s="47"/>
      <c r="L120" s="47"/>
      <c r="M120" s="47"/>
      <c r="N120" s="47"/>
    </row>
    <row r="121" spans="2:14" ht="38.1" customHeight="1">
      <c r="B121" s="10" t="str">
        <f>Tarifas!B39</f>
        <v>Creadores e integraciones</v>
      </c>
      <c r="C121" s="10" t="str">
        <f>Tarifas!C39</f>
        <v>1 video + 2 Stories</v>
      </c>
      <c r="D121" s="36">
        <f>Tarifas!E39</f>
        <v>2875</v>
      </c>
      <c r="E121" s="37">
        <f>E87/$D$87</f>
        <v>1.7182121739130434</v>
      </c>
      <c r="F121" s="37">
        <f>F87/$D$87</f>
        <v>1.0738817391304347</v>
      </c>
      <c r="G121" s="37">
        <f>G87/$D$87</f>
        <v>0.85910956521739135</v>
      </c>
      <c r="H121" s="37">
        <f>SUM(E121:G121)</f>
        <v>3.6512034782608693</v>
      </c>
      <c r="I121" s="11">
        <f>I87</f>
        <v>10497.21</v>
      </c>
      <c r="J121" s="13">
        <f>I121/$C$80</f>
        <v>0.14996014285714285</v>
      </c>
      <c r="K121" s="9"/>
      <c r="L121" s="9"/>
      <c r="M121" s="9"/>
      <c r="N121" s="9"/>
    </row>
    <row r="122" spans="2:14" ht="30" customHeight="1">
      <c r="B122" s="19" t="s">
        <v>105</v>
      </c>
      <c r="C122" s="19"/>
      <c r="D122" s="19"/>
      <c r="E122" s="19"/>
      <c r="F122" s="19"/>
      <c r="G122" s="19"/>
      <c r="H122" s="19"/>
      <c r="I122" s="20">
        <f>SUM(I121:I121)</f>
        <v>10497.21</v>
      </c>
      <c r="J122" s="19"/>
      <c r="K122" s="19"/>
      <c r="L122" s="19"/>
      <c r="M122" s="19"/>
      <c r="N122" s="19"/>
    </row>
    <row r="123" spans="2:14" ht="27.95" customHeight="1">
      <c r="B123" s="45" t="s">
        <v>106</v>
      </c>
      <c r="C123" s="45"/>
      <c r="D123" s="45"/>
      <c r="E123" s="45"/>
      <c r="F123" s="45"/>
      <c r="G123" s="45"/>
      <c r="H123" s="45"/>
      <c r="I123" s="45"/>
      <c r="J123" s="45"/>
      <c r="K123" s="45"/>
      <c r="L123" s="45"/>
      <c r="M123" s="45"/>
      <c r="N123" s="45"/>
    </row>
    <row r="125" spans="2:14" ht="24.95" customHeight="1">
      <c r="B125" s="47" t="s">
        <v>136</v>
      </c>
      <c r="C125" s="47"/>
      <c r="D125" s="47"/>
      <c r="E125" s="47"/>
      <c r="F125" s="47"/>
      <c r="G125" s="47"/>
      <c r="H125" s="47"/>
      <c r="I125" s="47"/>
      <c r="J125" s="47"/>
      <c r="K125" s="47"/>
      <c r="L125" s="47"/>
      <c r="M125" s="47"/>
      <c r="N125" s="47"/>
    </row>
    <row r="126" spans="2:14" ht="42" customHeight="1">
      <c r="B126" s="6" t="s">
        <v>38</v>
      </c>
      <c r="C126" s="7" t="s">
        <v>137</v>
      </c>
      <c r="D126" s="7" t="s">
        <v>138</v>
      </c>
      <c r="E126" s="7" t="s">
        <v>139</v>
      </c>
      <c r="F126" s="50" t="s">
        <v>140</v>
      </c>
      <c r="G126" s="51"/>
      <c r="H126" s="51"/>
      <c r="I126" s="51"/>
      <c r="J126" s="51"/>
      <c r="K126" s="51"/>
      <c r="L126" s="51"/>
      <c r="M126" s="51"/>
      <c r="N126" s="51"/>
    </row>
    <row r="127" spans="2:14" ht="60" customHeight="1">
      <c r="B127" s="10" t="s">
        <v>8</v>
      </c>
      <c r="C127" s="10" t="s">
        <v>141</v>
      </c>
      <c r="D127" s="10" t="s">
        <v>141</v>
      </c>
      <c r="E127" s="43" t="s">
        <v>141</v>
      </c>
      <c r="F127" s="48" t="s">
        <v>142</v>
      </c>
      <c r="G127" s="48"/>
      <c r="H127" s="48"/>
      <c r="I127" s="48"/>
      <c r="J127" s="48"/>
      <c r="K127" s="48"/>
      <c r="L127" s="48"/>
      <c r="M127" s="48"/>
      <c r="N127" s="48"/>
    </row>
    <row r="128" spans="2:14" ht="60" customHeight="1">
      <c r="B128" s="15" t="s">
        <v>43</v>
      </c>
      <c r="C128" s="15" t="s">
        <v>141</v>
      </c>
      <c r="D128" s="15" t="s">
        <v>141</v>
      </c>
      <c r="E128" s="44">
        <f>H84</f>
        <v>2553998</v>
      </c>
      <c r="F128" s="49" t="s">
        <v>144</v>
      </c>
      <c r="G128" s="49"/>
      <c r="H128" s="49"/>
      <c r="I128" s="49"/>
      <c r="J128" s="49"/>
      <c r="K128" s="49"/>
      <c r="L128" s="49"/>
      <c r="M128" s="49"/>
      <c r="N128" s="49"/>
    </row>
    <row r="129" spans="2:14" ht="60" customHeight="1">
      <c r="B129" s="10" t="s">
        <v>44</v>
      </c>
      <c r="C129" s="10" t="s">
        <v>141</v>
      </c>
      <c r="D129" s="10" t="s">
        <v>141</v>
      </c>
      <c r="E129" s="43">
        <f>H85</f>
        <v>3043477</v>
      </c>
      <c r="F129" s="48" t="s">
        <v>144</v>
      </c>
      <c r="G129" s="48"/>
      <c r="H129" s="48"/>
      <c r="I129" s="48"/>
      <c r="J129" s="48"/>
      <c r="K129" s="48"/>
      <c r="L129" s="48"/>
      <c r="M129" s="48"/>
      <c r="N129" s="48"/>
    </row>
    <row r="130" spans="2:14" ht="60" customHeight="1">
      <c r="B130" s="15" t="s">
        <v>45</v>
      </c>
      <c r="C130" s="15" t="s">
        <v>141</v>
      </c>
      <c r="D130" s="15" t="s">
        <v>141</v>
      </c>
      <c r="E130" s="44">
        <f>H86</f>
        <v>380433</v>
      </c>
      <c r="F130" s="49" t="s">
        <v>144</v>
      </c>
      <c r="G130" s="49"/>
      <c r="H130" s="49"/>
      <c r="I130" s="49"/>
      <c r="J130" s="49"/>
      <c r="K130" s="49"/>
      <c r="L130" s="49"/>
      <c r="M130" s="49"/>
      <c r="N130" s="49"/>
    </row>
    <row r="131" spans="2:14" ht="60" customHeight="1">
      <c r="B131" s="10" t="s">
        <v>47</v>
      </c>
      <c r="C131" s="10" t="s">
        <v>141</v>
      </c>
      <c r="D131" s="10" t="s">
        <v>141</v>
      </c>
      <c r="E131" s="43" t="s">
        <v>141</v>
      </c>
      <c r="F131" s="48" t="s">
        <v>151</v>
      </c>
      <c r="G131" s="48"/>
      <c r="H131" s="48"/>
      <c r="I131" s="48"/>
      <c r="J131" s="48"/>
      <c r="K131" s="48"/>
      <c r="L131" s="48"/>
      <c r="M131" s="48"/>
      <c r="N131" s="48"/>
    </row>
  </sheetData>
  <mergeCells count="45">
    <mergeCell ref="B2:O2"/>
    <mergeCell ref="B4:O4"/>
    <mergeCell ref="B8:O8"/>
    <mergeCell ref="B17:N17"/>
    <mergeCell ref="B18:N18"/>
    <mergeCell ref="B19:N19"/>
    <mergeCell ref="B20:N20"/>
    <mergeCell ref="B31:N31"/>
    <mergeCell ref="B32:N32"/>
    <mergeCell ref="B34:N34"/>
    <mergeCell ref="B42:N42"/>
    <mergeCell ref="B44:N44"/>
    <mergeCell ref="B52:N52"/>
    <mergeCell ref="B55:N55"/>
    <mergeCell ref="B58:N58"/>
    <mergeCell ref="B61:N61"/>
    <mergeCell ref="B64:N64"/>
    <mergeCell ref="B66:N66"/>
    <mergeCell ref="F67:N67"/>
    <mergeCell ref="F68:N68"/>
    <mergeCell ref="F69:N69"/>
    <mergeCell ref="F70:N70"/>
    <mergeCell ref="F71:N71"/>
    <mergeCell ref="F72:N72"/>
    <mergeCell ref="B76:N76"/>
    <mergeCell ref="B77:N77"/>
    <mergeCell ref="B78:N78"/>
    <mergeCell ref="B79:N79"/>
    <mergeCell ref="B90:N90"/>
    <mergeCell ref="B91:N91"/>
    <mergeCell ref="B93:N93"/>
    <mergeCell ref="B101:N101"/>
    <mergeCell ref="B103:N103"/>
    <mergeCell ref="B111:N111"/>
    <mergeCell ref="B114:N114"/>
    <mergeCell ref="B117:N117"/>
    <mergeCell ref="B120:N120"/>
    <mergeCell ref="B123:N123"/>
    <mergeCell ref="B125:N125"/>
    <mergeCell ref="F126:N126"/>
    <mergeCell ref="F127:N127"/>
    <mergeCell ref="F128:N128"/>
    <mergeCell ref="F129:N129"/>
    <mergeCell ref="F130:N130"/>
    <mergeCell ref="F131:N13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192667"/>
  </sheetPr>
  <dimension ref="A1:O77"/>
  <sheetViews>
    <sheetView showGridLines="0" workbookViewId="0">
      <pane xSplit="2" ySplit="10" topLeftCell="G11" activePane="bottomRight" state="frozen"/>
      <selection pane="bottomRight" activeCell="B24" sqref="B24:N24"/>
      <selection pane="bottomLeft" activeCell="B24" sqref="B24:N24"/>
      <selection pane="topRight" activeCell="B24" sqref="B24:N24"/>
    </sheetView>
  </sheetViews>
  <sheetFormatPr defaultColWidth="8.875" defaultRowHeight="15"/>
  <cols>
    <col min="1" max="1" width="3" style="2" customWidth="1"/>
    <col min="2" max="2" width="32" style="2" customWidth="1"/>
    <col min="3" max="3" width="28" style="2" customWidth="1"/>
    <col min="4" max="4" width="19" style="2" customWidth="1"/>
    <col min="5" max="15" width="16" style="2" customWidth="1"/>
    <col min="16" max="16384" width="8.875" style="2"/>
  </cols>
  <sheetData>
    <row r="1" spans="1:15">
      <c r="A1" s="1"/>
      <c r="B1" s="1"/>
      <c r="C1" s="1"/>
      <c r="D1" s="1"/>
      <c r="E1" s="1"/>
      <c r="F1" s="1"/>
      <c r="G1" s="1"/>
      <c r="H1" s="1"/>
      <c r="I1" s="1"/>
      <c r="J1" s="1"/>
      <c r="K1" s="1"/>
      <c r="L1" s="1"/>
      <c r="M1" s="1"/>
      <c r="N1" s="1"/>
      <c r="O1" s="1"/>
    </row>
    <row r="2" spans="1:15" ht="32.1" customHeight="1">
      <c r="A2" s="1"/>
      <c r="B2" s="46" t="s">
        <v>191</v>
      </c>
      <c r="C2" s="46"/>
      <c r="D2" s="46"/>
      <c r="E2" s="46"/>
      <c r="F2" s="46"/>
      <c r="G2" s="46"/>
      <c r="H2" s="46"/>
      <c r="I2" s="46"/>
      <c r="J2" s="46"/>
      <c r="K2" s="46"/>
      <c r="L2" s="46"/>
      <c r="M2" s="46"/>
      <c r="N2" s="46"/>
      <c r="O2" s="46"/>
    </row>
    <row r="3" spans="1:15" ht="3.95" customHeight="1">
      <c r="A3" s="1"/>
      <c r="B3" s="3"/>
      <c r="C3" s="3"/>
      <c r="D3" s="3"/>
      <c r="E3" s="3"/>
      <c r="F3" s="3"/>
      <c r="G3" s="3"/>
      <c r="H3" s="3"/>
      <c r="I3" s="3"/>
      <c r="J3" s="3"/>
      <c r="K3" s="3"/>
      <c r="L3" s="3"/>
      <c r="M3" s="3"/>
      <c r="N3" s="3"/>
      <c r="O3" s="3"/>
    </row>
    <row r="4" spans="1:15" ht="30" customHeight="1">
      <c r="A4" s="1"/>
      <c r="B4" s="45" t="s">
        <v>1</v>
      </c>
      <c r="C4" s="45"/>
      <c r="D4" s="45"/>
      <c r="E4" s="45"/>
      <c r="F4" s="45"/>
      <c r="G4" s="45"/>
      <c r="H4" s="45"/>
      <c r="I4" s="45"/>
      <c r="J4" s="45"/>
      <c r="K4" s="45"/>
      <c r="L4" s="45"/>
      <c r="M4" s="45"/>
      <c r="N4" s="45"/>
      <c r="O4" s="45"/>
    </row>
    <row r="5" spans="1:15">
      <c r="A5" s="1"/>
      <c r="B5" s="1"/>
      <c r="C5" s="1"/>
      <c r="D5" s="1"/>
      <c r="E5" s="1"/>
      <c r="F5" s="1"/>
      <c r="G5" s="1"/>
      <c r="H5" s="1"/>
      <c r="I5" s="1"/>
      <c r="J5" s="1"/>
      <c r="K5" s="1"/>
      <c r="L5" s="1"/>
      <c r="M5" s="1"/>
      <c r="N5" s="1"/>
      <c r="O5" s="1"/>
    </row>
    <row r="6" spans="1:15" ht="21">
      <c r="A6" s="1"/>
      <c r="B6" s="1" t="s">
        <v>50</v>
      </c>
      <c r="C6" s="32">
        <f>'AGA y criterios'!D15</f>
        <v>125000</v>
      </c>
      <c r="D6" s="1"/>
      <c r="E6" s="1" t="s">
        <v>6</v>
      </c>
      <c r="F6" s="33">
        <f>L12</f>
        <v>125000.00000000001</v>
      </c>
      <c r="G6" s="1"/>
      <c r="H6" s="1" t="s">
        <v>3</v>
      </c>
      <c r="I6" s="5">
        <f>ROUND(C6-F6,2)</f>
        <v>0</v>
      </c>
      <c r="J6" s="1"/>
      <c r="K6" s="1" t="s">
        <v>192</v>
      </c>
      <c r="L6" s="1"/>
      <c r="M6" s="33">
        <f>'AGA y criterios'!E15</f>
        <v>0</v>
      </c>
      <c r="N6" s="1"/>
      <c r="O6" s="1"/>
    </row>
    <row r="7" spans="1:15">
      <c r="A7" s="1"/>
      <c r="B7" s="1"/>
      <c r="C7" s="1"/>
      <c r="D7" s="1"/>
      <c r="E7" s="1"/>
      <c r="F7" s="1"/>
      <c r="G7" s="1"/>
      <c r="H7" s="1"/>
      <c r="I7" s="1"/>
      <c r="J7" s="1"/>
      <c r="K7" s="1"/>
      <c r="L7" s="1"/>
      <c r="M7" s="1"/>
      <c r="N7" s="1"/>
      <c r="O7" s="1"/>
    </row>
    <row r="8" spans="1:15" ht="30" customHeight="1">
      <c r="A8" s="1"/>
      <c r="B8" s="45" t="s">
        <v>52</v>
      </c>
      <c r="C8" s="45"/>
      <c r="D8" s="45"/>
      <c r="E8" s="45"/>
      <c r="F8" s="45"/>
      <c r="G8" s="45"/>
      <c r="H8" s="45"/>
      <c r="I8" s="45"/>
      <c r="J8" s="45"/>
      <c r="K8" s="45"/>
      <c r="L8" s="45"/>
      <c r="M8" s="45"/>
      <c r="N8" s="45"/>
      <c r="O8" s="45"/>
    </row>
    <row r="10" spans="1:15" ht="42" customHeight="1">
      <c r="B10" s="6" t="s">
        <v>53</v>
      </c>
      <c r="C10" s="7" t="s">
        <v>54</v>
      </c>
      <c r="D10" s="7" t="s">
        <v>8</v>
      </c>
      <c r="E10" s="7" t="s">
        <v>9</v>
      </c>
      <c r="F10" s="7" t="s">
        <v>10</v>
      </c>
      <c r="G10" s="7" t="s">
        <v>43</v>
      </c>
      <c r="H10" s="7" t="s">
        <v>44</v>
      </c>
      <c r="I10" s="7" t="s">
        <v>45</v>
      </c>
      <c r="J10" s="7" t="s">
        <v>46</v>
      </c>
      <c r="K10" s="7" t="s">
        <v>12</v>
      </c>
      <c r="L10" s="7" t="s">
        <v>55</v>
      </c>
      <c r="M10" s="7" t="s">
        <v>3</v>
      </c>
      <c r="N10" s="8" t="s">
        <v>56</v>
      </c>
    </row>
    <row r="11" spans="1:15" ht="30.95" customHeight="1">
      <c r="B11" s="10" t="s">
        <v>27</v>
      </c>
      <c r="C11" s="11">
        <f>'AGA y criterios'!D39</f>
        <v>125000</v>
      </c>
      <c r="D11" s="11">
        <f>H23</f>
        <v>17376.63</v>
      </c>
      <c r="E11" s="11">
        <v>0</v>
      </c>
      <c r="F11" s="11">
        <v>0</v>
      </c>
      <c r="G11" s="11">
        <f>H24</f>
        <v>45494.240000000005</v>
      </c>
      <c r="H11" s="11">
        <f>H25</f>
        <v>18750</v>
      </c>
      <c r="I11" s="11">
        <f>H27</f>
        <v>6250</v>
      </c>
      <c r="J11" s="11">
        <f>H26</f>
        <v>25000</v>
      </c>
      <c r="K11" s="11">
        <f>H28</f>
        <v>12129.130000000001</v>
      </c>
      <c r="L11" s="11">
        <f>H29</f>
        <v>125000.00000000001</v>
      </c>
      <c r="M11" s="11">
        <f>ROUND(C11-L11,2)</f>
        <v>0</v>
      </c>
      <c r="N11" s="13">
        <f>L11/$C$6</f>
        <v>1.0000000000000002</v>
      </c>
    </row>
    <row r="12" spans="1:15" ht="30" customHeight="1">
      <c r="B12" s="34" t="s">
        <v>57</v>
      </c>
      <c r="C12" s="20">
        <f t="shared" ref="C12:N12" si="0">SUM(C11:C11)</f>
        <v>125000</v>
      </c>
      <c r="D12" s="20">
        <f t="shared" si="0"/>
        <v>17376.63</v>
      </c>
      <c r="E12" s="20">
        <f t="shared" si="0"/>
        <v>0</v>
      </c>
      <c r="F12" s="20">
        <f t="shared" si="0"/>
        <v>0</v>
      </c>
      <c r="G12" s="20">
        <f t="shared" si="0"/>
        <v>45494.240000000005</v>
      </c>
      <c r="H12" s="20">
        <f t="shared" si="0"/>
        <v>18750</v>
      </c>
      <c r="I12" s="20">
        <f t="shared" si="0"/>
        <v>6250</v>
      </c>
      <c r="J12" s="20">
        <f t="shared" si="0"/>
        <v>25000</v>
      </c>
      <c r="K12" s="20">
        <f t="shared" si="0"/>
        <v>12129.130000000001</v>
      </c>
      <c r="L12" s="20">
        <f t="shared" si="0"/>
        <v>125000.00000000001</v>
      </c>
      <c r="M12" s="20">
        <f t="shared" si="0"/>
        <v>0</v>
      </c>
      <c r="N12" s="22">
        <f t="shared" si="0"/>
        <v>1.0000000000000002</v>
      </c>
    </row>
    <row r="16" spans="1:15" ht="24.95" customHeight="1">
      <c r="B16" s="47" t="s">
        <v>191</v>
      </c>
      <c r="C16" s="47"/>
      <c r="D16" s="47"/>
      <c r="E16" s="47"/>
      <c r="F16" s="47"/>
      <c r="G16" s="47"/>
      <c r="H16" s="47"/>
      <c r="I16" s="47"/>
      <c r="J16" s="47"/>
      <c r="K16" s="47"/>
      <c r="L16" s="47"/>
      <c r="M16" s="47"/>
      <c r="N16" s="47"/>
    </row>
    <row r="17" spans="2:14" ht="32.1" customHeight="1">
      <c r="B17" s="45" t="s">
        <v>193</v>
      </c>
      <c r="C17" s="45"/>
      <c r="D17" s="45"/>
      <c r="E17" s="45"/>
      <c r="F17" s="45"/>
      <c r="G17" s="45"/>
      <c r="H17" s="45"/>
      <c r="I17" s="45"/>
      <c r="J17" s="45"/>
      <c r="K17" s="45"/>
      <c r="L17" s="45"/>
      <c r="M17" s="45"/>
      <c r="N17" s="45"/>
    </row>
    <row r="18" spans="2:14" ht="32.1" customHeight="1">
      <c r="B18" s="45" t="s">
        <v>194</v>
      </c>
      <c r="C18" s="45"/>
      <c r="D18" s="45"/>
      <c r="E18" s="45"/>
      <c r="F18" s="45"/>
      <c r="G18" s="45"/>
      <c r="H18" s="45"/>
      <c r="I18" s="45"/>
      <c r="J18" s="45"/>
      <c r="K18" s="45"/>
      <c r="L18" s="45"/>
      <c r="M18" s="45"/>
      <c r="N18" s="45"/>
    </row>
    <row r="19" spans="2:14" ht="33.950000000000003" customHeight="1">
      <c r="B19" s="45" t="s">
        <v>195</v>
      </c>
      <c r="C19" s="45"/>
      <c r="D19" s="45"/>
      <c r="E19" s="45"/>
      <c r="F19" s="45"/>
      <c r="G19" s="45"/>
      <c r="H19" s="45"/>
      <c r="I19" s="45"/>
      <c r="J19" s="45"/>
      <c r="K19" s="45"/>
      <c r="L19" s="45"/>
      <c r="M19" s="45"/>
      <c r="N19" s="45"/>
    </row>
    <row r="20" spans="2:14">
      <c r="B20" s="2" t="s">
        <v>61</v>
      </c>
      <c r="C20" s="35">
        <f>'AGA y criterios'!D39</f>
        <v>125000</v>
      </c>
    </row>
    <row r="22" spans="2:14" ht="42" customHeight="1">
      <c r="B22" s="6" t="s">
        <v>34</v>
      </c>
      <c r="C22" s="7" t="s">
        <v>63</v>
      </c>
      <c r="D22" s="7" t="s">
        <v>64</v>
      </c>
      <c r="E22" s="7" t="s">
        <v>196</v>
      </c>
      <c r="F22" s="7" t="s">
        <v>119</v>
      </c>
      <c r="G22" s="7" t="s">
        <v>72</v>
      </c>
      <c r="H22" s="7" t="s">
        <v>2</v>
      </c>
      <c r="I22" s="8" t="s">
        <v>13</v>
      </c>
    </row>
    <row r="23" spans="2:14" ht="30.95" customHeight="1">
      <c r="B23" s="10" t="s">
        <v>8</v>
      </c>
      <c r="C23" s="10" t="s">
        <v>73</v>
      </c>
      <c r="D23" s="36">
        <f>SUM(Tarifas!E7:E12)</f>
        <v>10068.25</v>
      </c>
      <c r="E23" s="11">
        <f>ROUND($C$20*('Base de distribución'!E65/SUM('Base de distribución'!E65,'Base de distribución'!E66,'Base de distribución'!E67,'Base de distribución'!E68,'Base de distribución'!E69,'Base de distribución'!E70,'Base de distribución'!E71,'Base de distribución'!E72,'Base de distribución'!E73,'Base de distribución'!E74,'Base de distribución'!E75,'Base de distribución'!E76)),2)</f>
        <v>11584.42</v>
      </c>
      <c r="F23" s="11">
        <f>ROUND($C$20*('Base de distribución'!E66/SUM('Base de distribución'!E65,'Base de distribución'!E66,'Base de distribución'!E67,'Base de distribución'!E68,'Base de distribución'!E69,'Base de distribución'!E70,'Base de distribución'!E71,'Base de distribución'!E72,'Base de distribución'!E73,'Base de distribución'!E74,'Base de distribución'!E75,'Base de distribución'!E76)),2)</f>
        <v>5792.21</v>
      </c>
      <c r="G23" s="37">
        <f>SUM(G46:G51)</f>
        <v>10.355303056638443</v>
      </c>
      <c r="H23" s="11">
        <f t="shared" ref="H23:H28" si="1">SUM(E23:F23)</f>
        <v>17376.63</v>
      </c>
      <c r="I23" s="13">
        <f t="shared" ref="I23:I28" si="2">H23/$C$20</f>
        <v>0.13901304</v>
      </c>
      <c r="J23" s="9"/>
      <c r="K23" s="9"/>
      <c r="L23" s="9"/>
      <c r="M23" s="9"/>
      <c r="N23" s="9"/>
    </row>
    <row r="24" spans="2:14" ht="30.95" customHeight="1">
      <c r="B24" s="15" t="s">
        <v>43</v>
      </c>
      <c r="C24" s="15" t="s">
        <v>75</v>
      </c>
      <c r="D24" s="38">
        <f>Tarifas!E35</f>
        <v>8.625</v>
      </c>
      <c r="E24" s="16">
        <f>ROUND($C$20*('Base de distribución'!E67/SUM('Base de distribución'!E65,'Base de distribución'!E66,'Base de distribución'!E67,'Base de distribución'!E68,'Base de distribución'!E69,'Base de distribución'!E70,'Base de distribución'!E71,'Base de distribución'!E72,'Base de distribución'!E73,'Base de distribución'!E74,'Base de distribución'!E75,'Base de distribución'!E76)),2)</f>
        <v>32645.72</v>
      </c>
      <c r="F24" s="16">
        <f>ROUND($C$20*('Base de distribución'!E68/SUM('Base de distribución'!E65,'Base de distribución'!E66,'Base de distribución'!E67,'Base de distribución'!E68,'Base de distribución'!E69,'Base de distribución'!E70,'Base de distribución'!E71,'Base de distribución'!E72,'Base de distribución'!E73,'Base de distribución'!E74,'Base de distribución'!E75,'Base de distribución'!E76)),2)</f>
        <v>12848.52</v>
      </c>
      <c r="G24" s="41">
        <f>SUM(G54:G54)</f>
        <v>5274694</v>
      </c>
      <c r="H24" s="16">
        <f t="shared" si="1"/>
        <v>45494.240000000005</v>
      </c>
      <c r="I24" s="18">
        <f t="shared" si="2"/>
        <v>0.36395392000000004</v>
      </c>
      <c r="J24" s="14"/>
      <c r="K24" s="14"/>
      <c r="L24" s="14"/>
      <c r="M24" s="14"/>
      <c r="N24" s="14"/>
    </row>
    <row r="25" spans="2:14" ht="30.95" customHeight="1">
      <c r="B25" s="10" t="s">
        <v>37</v>
      </c>
      <c r="C25" s="10" t="s">
        <v>75</v>
      </c>
      <c r="D25" s="36">
        <f>Tarifas!E36</f>
        <v>6.9</v>
      </c>
      <c r="E25" s="11">
        <f>ROUND($C$20*('Base de distribución'!E69/SUM('Base de distribución'!E65,'Base de distribución'!E66,'Base de distribución'!E67,'Base de distribución'!E68,'Base de distribución'!E69,'Base de distribución'!E70,'Base de distribución'!E71,'Base de distribución'!E72,'Base de distribución'!E73,'Base de distribución'!E74,'Base de distribución'!E75,'Base de distribución'!E76)),2)</f>
        <v>13125</v>
      </c>
      <c r="F25" s="11">
        <f>ROUND($C$20*('Base de distribución'!E70/SUM('Base de distribución'!E65,'Base de distribución'!E66,'Base de distribución'!E67,'Base de distribución'!E68,'Base de distribución'!E69,'Base de distribución'!E70,'Base de distribución'!E71,'Base de distribución'!E72,'Base de distribución'!E73,'Base de distribución'!E74,'Base de distribución'!E75,'Base de distribución'!E76)),2)</f>
        <v>5625</v>
      </c>
      <c r="G25" s="40">
        <f>SUM(G57:G57)</f>
        <v>2717390</v>
      </c>
      <c r="H25" s="11">
        <f t="shared" si="1"/>
        <v>18750</v>
      </c>
      <c r="I25" s="13">
        <f t="shared" si="2"/>
        <v>0.15</v>
      </c>
      <c r="J25" s="9"/>
      <c r="K25" s="9"/>
      <c r="L25" s="9"/>
      <c r="M25" s="9"/>
      <c r="N25" s="9"/>
    </row>
    <row r="26" spans="2:14" ht="30.95" customHeight="1">
      <c r="B26" s="15" t="s">
        <v>46</v>
      </c>
      <c r="C26" s="15" t="s">
        <v>76</v>
      </c>
      <c r="D26" s="38">
        <f>Tarifas!E38</f>
        <v>0.115</v>
      </c>
      <c r="E26" s="16">
        <f>ROUND($C$20*('Base de distribución'!E71/SUM('Base de distribución'!E65,'Base de distribución'!E66,'Base de distribución'!E67,'Base de distribución'!E68,'Base de distribución'!E69,'Base de distribución'!E70,'Base de distribución'!E71,'Base de distribución'!E72,'Base de distribución'!E73,'Base de distribución'!E74,'Base de distribución'!E75,'Base de distribución'!E76)),2)</f>
        <v>17500</v>
      </c>
      <c r="F26" s="16">
        <f>ROUND($C$20*('Base de distribución'!E72/SUM('Base de distribución'!E65,'Base de distribución'!E66,'Base de distribución'!E67,'Base de distribución'!E68,'Base de distribución'!E69,'Base de distribución'!E70,'Base de distribución'!E71,'Base de distribución'!E72,'Base de distribución'!E73,'Base de distribución'!E74,'Base de distribución'!E75,'Base de distribución'!E76)),2)</f>
        <v>7500</v>
      </c>
      <c r="G26" s="41">
        <f>SUM(G60:G60)</f>
        <v>217390</v>
      </c>
      <c r="H26" s="16">
        <f t="shared" si="1"/>
        <v>25000</v>
      </c>
      <c r="I26" s="18">
        <f t="shared" si="2"/>
        <v>0.2</v>
      </c>
      <c r="J26" s="14"/>
      <c r="K26" s="14"/>
      <c r="L26" s="14"/>
      <c r="M26" s="14"/>
      <c r="N26" s="14"/>
    </row>
    <row r="27" spans="2:14" ht="30.95" customHeight="1">
      <c r="B27" s="10" t="s">
        <v>45</v>
      </c>
      <c r="C27" s="10" t="s">
        <v>75</v>
      </c>
      <c r="D27" s="36">
        <f>Tarifas!E37</f>
        <v>9.1999999999999993</v>
      </c>
      <c r="E27" s="11">
        <f>ROUND($C$20*('Base de distribución'!E73/SUM('Base de distribución'!E65,'Base de distribución'!E66,'Base de distribución'!E67,'Base de distribución'!E68,'Base de distribución'!E69,'Base de distribución'!E70,'Base de distribución'!E71,'Base de distribución'!E72,'Base de distribución'!E73,'Base de distribución'!E74,'Base de distribución'!E75,'Base de distribución'!E76)),2)</f>
        <v>4375</v>
      </c>
      <c r="F27" s="11">
        <f>ROUND($C$20*('Base de distribución'!E74/SUM('Base de distribución'!E65,'Base de distribución'!E66,'Base de distribución'!E67,'Base de distribución'!E68,'Base de distribución'!E69,'Base de distribución'!E70,'Base de distribución'!E71,'Base de distribución'!E72,'Base de distribución'!E73,'Base de distribución'!E74,'Base de distribución'!E75,'Base de distribución'!E76)),2)</f>
        <v>1875</v>
      </c>
      <c r="G27" s="40">
        <f>SUM(G63:G63)</f>
        <v>679347</v>
      </c>
      <c r="H27" s="11">
        <f t="shared" si="1"/>
        <v>6250</v>
      </c>
      <c r="I27" s="13">
        <f t="shared" si="2"/>
        <v>0.05</v>
      </c>
      <c r="J27" s="9"/>
      <c r="K27" s="9"/>
      <c r="L27" s="9"/>
      <c r="M27" s="9"/>
      <c r="N27" s="9"/>
    </row>
    <row r="28" spans="2:14" ht="30.95" customHeight="1">
      <c r="B28" s="15" t="s">
        <v>47</v>
      </c>
      <c r="C28" s="15" t="s">
        <v>77</v>
      </c>
      <c r="D28" s="38">
        <f>Tarifas!E39</f>
        <v>2875</v>
      </c>
      <c r="E28" s="16">
        <f>ROUND($C$20*('Base de distribución'!E75/SUM('Base de distribución'!E65,'Base de distribución'!E66,'Base de distribución'!E67,'Base de distribución'!E68,'Base de distribución'!E69,'Base de distribución'!E70,'Base de distribución'!E71,'Base de distribución'!E72,'Base de distribución'!E73,'Base de distribución'!E74,'Base de distribución'!E75,'Base de distribución'!E76)),2)</f>
        <v>8269.86</v>
      </c>
      <c r="F28" s="16">
        <f>ROUND($C$20-SUM(E23:F23,E24:F24,E25:F25,E26:F26,E27:F27,E28:E28),2)</f>
        <v>3859.27</v>
      </c>
      <c r="G28" s="39">
        <f>G66*Tarifas!F39</f>
        <v>12.656483478260871</v>
      </c>
      <c r="H28" s="16">
        <f t="shared" si="1"/>
        <v>12129.130000000001</v>
      </c>
      <c r="I28" s="18">
        <f t="shared" si="2"/>
        <v>9.7033040000000015E-2</v>
      </c>
      <c r="J28" s="14"/>
      <c r="K28" s="14"/>
      <c r="L28" s="14"/>
      <c r="M28" s="14"/>
      <c r="N28" s="14"/>
    </row>
    <row r="29" spans="2:14" ht="30" customHeight="1">
      <c r="B29" s="19" t="s">
        <v>78</v>
      </c>
      <c r="C29" s="19"/>
      <c r="D29" s="19"/>
      <c r="E29" s="20">
        <f>SUM(E23:E28)</f>
        <v>87500</v>
      </c>
      <c r="F29" s="20">
        <f>SUM(F23:F28)</f>
        <v>37499.999999999993</v>
      </c>
      <c r="G29" s="19"/>
      <c r="H29" s="20">
        <f>SUM(H23:H28)</f>
        <v>125000.00000000001</v>
      </c>
      <c r="I29" s="22">
        <f>SUM(I23:I28)</f>
        <v>1</v>
      </c>
      <c r="J29" s="19"/>
      <c r="K29" s="19"/>
      <c r="L29" s="19"/>
      <c r="M29" s="19"/>
      <c r="N29" s="19"/>
    </row>
    <row r="30" spans="2:14">
      <c r="B30" s="2" t="s">
        <v>79</v>
      </c>
      <c r="C30" s="42">
        <f>ROUND(C20-H29,2)</f>
        <v>0</v>
      </c>
    </row>
    <row r="31" spans="2:14" ht="32.1" customHeight="1">
      <c r="B31" s="45" t="s">
        <v>80</v>
      </c>
      <c r="C31" s="45"/>
      <c r="D31" s="45"/>
      <c r="E31" s="45"/>
      <c r="F31" s="45"/>
      <c r="G31" s="45"/>
      <c r="H31" s="45"/>
      <c r="I31" s="45"/>
      <c r="J31" s="45"/>
      <c r="K31" s="45"/>
      <c r="L31" s="45"/>
      <c r="M31" s="45"/>
      <c r="N31" s="45"/>
    </row>
    <row r="32" spans="2:14" ht="32.1" customHeight="1">
      <c r="B32" s="45" t="s">
        <v>81</v>
      </c>
      <c r="C32" s="45"/>
      <c r="D32" s="45"/>
      <c r="E32" s="45"/>
      <c r="F32" s="45"/>
      <c r="G32" s="45"/>
      <c r="H32" s="45"/>
      <c r="I32" s="45"/>
      <c r="J32" s="45"/>
      <c r="K32" s="45"/>
      <c r="L32" s="45"/>
      <c r="M32" s="45"/>
      <c r="N32" s="45"/>
    </row>
    <row r="34" spans="2:14" ht="24.95" customHeight="1">
      <c r="B34" s="47" t="s">
        <v>82</v>
      </c>
      <c r="C34" s="47"/>
      <c r="D34" s="47"/>
      <c r="E34" s="47"/>
      <c r="F34" s="47"/>
      <c r="G34" s="47"/>
      <c r="H34" s="47"/>
      <c r="I34" s="47"/>
      <c r="J34" s="47"/>
      <c r="K34" s="47"/>
      <c r="L34" s="47"/>
      <c r="M34" s="47"/>
      <c r="N34" s="47"/>
    </row>
    <row r="35" spans="2:14" ht="42" customHeight="1">
      <c r="B35" s="6" t="s">
        <v>38</v>
      </c>
      <c r="C35" s="7" t="s">
        <v>83</v>
      </c>
      <c r="D35" s="7" t="s">
        <v>84</v>
      </c>
      <c r="E35" s="7" t="s">
        <v>196</v>
      </c>
      <c r="F35" s="8" t="s">
        <v>119</v>
      </c>
    </row>
    <row r="36" spans="2:14" ht="44.1" customHeight="1">
      <c r="B36" s="10" t="s">
        <v>8</v>
      </c>
      <c r="C36" s="10" t="s">
        <v>85</v>
      </c>
      <c r="D36" s="10" t="s">
        <v>86</v>
      </c>
      <c r="E36" s="9" t="s">
        <v>196</v>
      </c>
      <c r="F36" s="9" t="s">
        <v>119</v>
      </c>
      <c r="G36" s="9"/>
      <c r="H36" s="9"/>
      <c r="I36" s="9"/>
      <c r="J36" s="9"/>
      <c r="K36" s="9"/>
      <c r="L36" s="9"/>
      <c r="M36" s="9"/>
      <c r="N36" s="9"/>
    </row>
    <row r="37" spans="2:14" ht="44.1" customHeight="1">
      <c r="B37" s="15" t="s">
        <v>43</v>
      </c>
      <c r="C37" s="15" t="s">
        <v>89</v>
      </c>
      <c r="D37" s="15" t="s">
        <v>86</v>
      </c>
      <c r="E37" s="14" t="s">
        <v>196</v>
      </c>
      <c r="F37" s="14" t="s">
        <v>119</v>
      </c>
      <c r="G37" s="14"/>
      <c r="H37" s="14"/>
      <c r="I37" s="14"/>
      <c r="J37" s="14"/>
      <c r="K37" s="14"/>
      <c r="L37" s="14"/>
      <c r="M37" s="14"/>
      <c r="N37" s="14"/>
    </row>
    <row r="38" spans="2:14" ht="44.1" customHeight="1">
      <c r="B38" s="10" t="s">
        <v>44</v>
      </c>
      <c r="C38" s="10" t="s">
        <v>90</v>
      </c>
      <c r="D38" s="10" t="s">
        <v>86</v>
      </c>
      <c r="E38" s="9" t="s">
        <v>196</v>
      </c>
      <c r="F38" s="9" t="s">
        <v>119</v>
      </c>
      <c r="G38" s="9"/>
      <c r="H38" s="9"/>
      <c r="I38" s="9"/>
      <c r="J38" s="9"/>
      <c r="K38" s="9"/>
      <c r="L38" s="9"/>
      <c r="M38" s="9"/>
      <c r="N38" s="9"/>
    </row>
    <row r="39" spans="2:14" ht="44.1" customHeight="1">
      <c r="B39" s="15" t="s">
        <v>46</v>
      </c>
      <c r="C39" s="15" t="s">
        <v>91</v>
      </c>
      <c r="D39" s="15" t="s">
        <v>86</v>
      </c>
      <c r="E39" s="14" t="s">
        <v>196</v>
      </c>
      <c r="F39" s="14" t="s">
        <v>119</v>
      </c>
      <c r="G39" s="14"/>
      <c r="H39" s="14"/>
      <c r="I39" s="14"/>
      <c r="J39" s="14"/>
      <c r="K39" s="14"/>
      <c r="L39" s="14"/>
      <c r="M39" s="14"/>
      <c r="N39" s="14"/>
    </row>
    <row r="40" spans="2:14" ht="44.1" customHeight="1">
      <c r="B40" s="10" t="s">
        <v>45</v>
      </c>
      <c r="C40" s="10" t="s">
        <v>149</v>
      </c>
      <c r="D40" s="10" t="s">
        <v>86</v>
      </c>
      <c r="E40" s="9" t="s">
        <v>196</v>
      </c>
      <c r="F40" s="9" t="s">
        <v>119</v>
      </c>
      <c r="G40" s="9"/>
      <c r="H40" s="9"/>
      <c r="I40" s="9"/>
      <c r="J40" s="9"/>
      <c r="K40" s="9"/>
      <c r="L40" s="9"/>
      <c r="M40" s="9"/>
      <c r="N40" s="9"/>
    </row>
    <row r="41" spans="2:14" ht="44.1" customHeight="1">
      <c r="B41" s="15" t="s">
        <v>47</v>
      </c>
      <c r="C41" s="15" t="s">
        <v>92</v>
      </c>
      <c r="D41" s="15" t="s">
        <v>86</v>
      </c>
      <c r="E41" s="14" t="s">
        <v>196</v>
      </c>
      <c r="F41" s="14" t="s">
        <v>119</v>
      </c>
      <c r="G41" s="14"/>
      <c r="H41" s="14"/>
      <c r="I41" s="14"/>
      <c r="J41" s="14"/>
      <c r="K41" s="14"/>
      <c r="L41" s="14"/>
      <c r="M41" s="14"/>
      <c r="N41" s="14"/>
    </row>
    <row r="43" spans="2:14" ht="24.95" customHeight="1">
      <c r="B43" s="47" t="s">
        <v>93</v>
      </c>
      <c r="C43" s="47"/>
      <c r="D43" s="47"/>
      <c r="E43" s="47"/>
      <c r="F43" s="47"/>
      <c r="G43" s="47"/>
      <c r="H43" s="47"/>
      <c r="I43" s="47"/>
      <c r="J43" s="47"/>
      <c r="K43" s="47"/>
      <c r="L43" s="47"/>
      <c r="M43" s="47"/>
      <c r="N43" s="47"/>
    </row>
    <row r="44" spans="2:14" ht="42" customHeight="1">
      <c r="B44" s="6" t="s">
        <v>94</v>
      </c>
      <c r="C44" s="7" t="s">
        <v>95</v>
      </c>
      <c r="D44" s="7" t="s">
        <v>64</v>
      </c>
      <c r="E44" s="7" t="s">
        <v>196</v>
      </c>
      <c r="F44" s="7" t="s">
        <v>119</v>
      </c>
      <c r="G44" s="7" t="s">
        <v>96</v>
      </c>
      <c r="H44" s="7" t="s">
        <v>2</v>
      </c>
      <c r="I44" s="8" t="s">
        <v>97</v>
      </c>
    </row>
    <row r="45" spans="2:14" ht="24.95" customHeight="1">
      <c r="B45" s="47" t="s">
        <v>8</v>
      </c>
      <c r="C45" s="47"/>
      <c r="D45" s="47"/>
      <c r="E45" s="47"/>
      <c r="F45" s="47"/>
      <c r="G45" s="47"/>
      <c r="H45" s="47"/>
      <c r="I45" s="47"/>
      <c r="J45" s="47"/>
      <c r="K45" s="47"/>
      <c r="L45" s="47"/>
      <c r="M45" s="47"/>
      <c r="N45" s="47"/>
    </row>
    <row r="46" spans="2:14" ht="38.1" customHeight="1">
      <c r="B46" s="10" t="str">
        <f>Tarifas!B7</f>
        <v>Telemundo</v>
      </c>
      <c r="C46" s="10" t="str">
        <f>Tarifas!C7</f>
        <v>Dia a Dia</v>
      </c>
      <c r="D46" s="36">
        <f>Tarifas!E7</f>
        <v>782</v>
      </c>
      <c r="E46" s="37">
        <f>E23/$D$23</f>
        <v>1.1505892285153825</v>
      </c>
      <c r="F46" s="37">
        <f>F23/$D$23</f>
        <v>0.57529461425769124</v>
      </c>
      <c r="G46" s="37">
        <f t="shared" ref="G46:G51" si="3">SUM(E46:F46)</f>
        <v>1.7258838427730736</v>
      </c>
      <c r="H46" s="11">
        <f>ROUND(G46*D46,2)</f>
        <v>1349.64</v>
      </c>
      <c r="I46" s="13">
        <f t="shared" ref="I46:I51" si="4">H46/$C$20</f>
        <v>1.079712E-2</v>
      </c>
      <c r="J46" s="9"/>
      <c r="K46" s="9"/>
      <c r="L46" s="9"/>
      <c r="M46" s="9"/>
      <c r="N46" s="9"/>
    </row>
    <row r="47" spans="2:14" ht="38.1" customHeight="1">
      <c r="B47" s="15" t="str">
        <f>Tarifas!B8</f>
        <v>Telemundo</v>
      </c>
      <c r="C47" s="15" t="str">
        <f>Tarifas!C8</f>
        <v>PR Gana 6pm (M,W,T,f,Su)</v>
      </c>
      <c r="D47" s="38">
        <f>Tarifas!E8</f>
        <v>2541.5</v>
      </c>
      <c r="E47" s="39">
        <f>E23/$D$23</f>
        <v>1.1505892285153825</v>
      </c>
      <c r="F47" s="39">
        <f>F23/$D$23</f>
        <v>0.57529461425769124</v>
      </c>
      <c r="G47" s="39">
        <f t="shared" si="3"/>
        <v>1.7258838427730736</v>
      </c>
      <c r="H47" s="16">
        <f>ROUND(G47*D47,2)</f>
        <v>4386.33</v>
      </c>
      <c r="I47" s="18">
        <f t="shared" si="4"/>
        <v>3.5090639999999999E-2</v>
      </c>
      <c r="J47" s="14"/>
      <c r="K47" s="14"/>
      <c r="L47" s="14"/>
      <c r="M47" s="14"/>
      <c r="N47" s="14"/>
    </row>
    <row r="48" spans="2:14" ht="38.1" customHeight="1">
      <c r="B48" s="10" t="str">
        <f>Tarifas!B9</f>
        <v>WAPA</v>
      </c>
      <c r="C48" s="10" t="str">
        <f>Tarifas!C9</f>
        <v>Pegate al MedioDIa</v>
      </c>
      <c r="D48" s="36">
        <f>Tarifas!E9</f>
        <v>977.5</v>
      </c>
      <c r="E48" s="37">
        <f>E23/$D$23</f>
        <v>1.1505892285153825</v>
      </c>
      <c r="F48" s="37">
        <f>F23/$D$23</f>
        <v>0.57529461425769124</v>
      </c>
      <c r="G48" s="37">
        <f t="shared" si="3"/>
        <v>1.7258838427730736</v>
      </c>
      <c r="H48" s="11">
        <f>ROUND(G48*D48,2)</f>
        <v>1687.05</v>
      </c>
      <c r="I48" s="13">
        <f t="shared" si="4"/>
        <v>1.34964E-2</v>
      </c>
      <c r="J48" s="9"/>
      <c r="K48" s="9"/>
      <c r="L48" s="9"/>
      <c r="M48" s="9"/>
      <c r="N48" s="9"/>
    </row>
    <row r="49" spans="2:14" ht="38.1" customHeight="1">
      <c r="B49" s="15" t="str">
        <f>Tarifas!B10</f>
        <v>WAPA</v>
      </c>
      <c r="C49" s="15" t="str">
        <f>Tarifas!C10</f>
        <v>Reality-Funcion Estelar 7p</v>
      </c>
      <c r="D49" s="38">
        <f>Tarifas!E10</f>
        <v>3519</v>
      </c>
      <c r="E49" s="39">
        <f>E23/$D$23</f>
        <v>1.1505892285153825</v>
      </c>
      <c r="F49" s="39">
        <f>F23/$D$23</f>
        <v>0.57529461425769124</v>
      </c>
      <c r="G49" s="39">
        <f t="shared" si="3"/>
        <v>1.7258838427730736</v>
      </c>
      <c r="H49" s="16">
        <f>ROUND(G49*D49,2)</f>
        <v>6073.39</v>
      </c>
      <c r="I49" s="18">
        <f t="shared" si="4"/>
        <v>4.8587120000000004E-2</v>
      </c>
      <c r="J49" s="14"/>
      <c r="K49" s="14"/>
      <c r="L49" s="14"/>
      <c r="M49" s="14"/>
      <c r="N49" s="14"/>
    </row>
    <row r="50" spans="2:14" ht="38.1" customHeight="1">
      <c r="B50" s="10" t="str">
        <f>Tarifas!B11</f>
        <v>TeleOnce</v>
      </c>
      <c r="C50" s="10" t="str">
        <f>Tarifas!C11</f>
        <v>PR en Vivo</v>
      </c>
      <c r="D50" s="36">
        <f>Tarifas!E11</f>
        <v>586.5</v>
      </c>
      <c r="E50" s="37">
        <f>E23/$D$23</f>
        <v>1.1505892285153825</v>
      </c>
      <c r="F50" s="37">
        <f>F23/$D$23</f>
        <v>0.57529461425769124</v>
      </c>
      <c r="G50" s="37">
        <f t="shared" si="3"/>
        <v>1.7258838427730736</v>
      </c>
      <c r="H50" s="11">
        <f>ROUND(G50*D50,2)</f>
        <v>1012.23</v>
      </c>
      <c r="I50" s="13">
        <f t="shared" si="4"/>
        <v>8.0978400000000002E-3</v>
      </c>
      <c r="J50" s="9"/>
      <c r="K50" s="9"/>
      <c r="L50" s="9"/>
      <c r="M50" s="9"/>
      <c r="N50" s="9"/>
    </row>
    <row r="51" spans="2:14" ht="38.1" customHeight="1">
      <c r="B51" s="15" t="str">
        <f>Tarifas!B12</f>
        <v>TeleOnce</v>
      </c>
      <c r="C51" s="15" t="str">
        <f>Tarifas!C12</f>
        <v>Las Noticias Prime</v>
      </c>
      <c r="D51" s="38">
        <f>Tarifas!E12</f>
        <v>1661.75</v>
      </c>
      <c r="E51" s="39">
        <f>E23/$D$23</f>
        <v>1.1505892285153825</v>
      </c>
      <c r="F51" s="39">
        <f>F23/$D$23</f>
        <v>0.57529461425769124</v>
      </c>
      <c r="G51" s="39">
        <f t="shared" si="3"/>
        <v>1.7258838427730736</v>
      </c>
      <c r="H51" s="16">
        <f>ROUND(H23-SUM(H46:H50),2)</f>
        <v>2867.99</v>
      </c>
      <c r="I51" s="18">
        <f t="shared" si="4"/>
        <v>2.294392E-2</v>
      </c>
      <c r="J51" s="14"/>
      <c r="K51" s="14"/>
      <c r="L51" s="14"/>
      <c r="M51" s="14"/>
      <c r="N51" s="14"/>
    </row>
    <row r="52" spans="2:14" ht="30" customHeight="1">
      <c r="B52" s="19" t="s">
        <v>98</v>
      </c>
      <c r="C52" s="19"/>
      <c r="D52" s="19"/>
      <c r="E52" s="19"/>
      <c r="F52" s="19"/>
      <c r="G52" s="19"/>
      <c r="H52" s="20">
        <f>SUM(H46:H51)</f>
        <v>17376.629999999997</v>
      </c>
      <c r="I52" s="19"/>
      <c r="J52" s="19"/>
      <c r="K52" s="19"/>
      <c r="L52" s="19"/>
      <c r="M52" s="19"/>
      <c r="N52" s="19"/>
    </row>
    <row r="53" spans="2:14" ht="24.95" customHeight="1">
      <c r="B53" s="47" t="s">
        <v>43</v>
      </c>
      <c r="C53" s="47"/>
      <c r="D53" s="47"/>
      <c r="E53" s="47"/>
      <c r="F53" s="47"/>
      <c r="G53" s="47"/>
      <c r="H53" s="47"/>
      <c r="I53" s="47"/>
      <c r="J53" s="47"/>
      <c r="K53" s="47"/>
      <c r="L53" s="47"/>
      <c r="M53" s="47"/>
      <c r="N53" s="47"/>
    </row>
    <row r="54" spans="2:14" ht="38.1" customHeight="1">
      <c r="B54" s="10" t="str">
        <f>Tarifas!B35</f>
        <v>Meta</v>
      </c>
      <c r="C54" s="10" t="str">
        <f>Tarifas!C35</f>
        <v>Video / Reels / Stories</v>
      </c>
      <c r="D54" s="36">
        <f>Tarifas!E35</f>
        <v>8.625</v>
      </c>
      <c r="E54" s="40">
        <f>ROUNDDOWN(E24/$D54*1000,0)</f>
        <v>3785011</v>
      </c>
      <c r="F54" s="40">
        <f>ROUNDDOWN(F24/$D54*1000,0)</f>
        <v>1489683</v>
      </c>
      <c r="G54" s="40">
        <f>SUM(E54:F54)</f>
        <v>5274694</v>
      </c>
      <c r="H54" s="11">
        <f>H24</f>
        <v>45494.240000000005</v>
      </c>
      <c r="I54" s="13">
        <f>H54/$C$20</f>
        <v>0.36395392000000004</v>
      </c>
      <c r="J54" s="9"/>
      <c r="K54" s="9"/>
      <c r="L54" s="9"/>
      <c r="M54" s="9"/>
      <c r="N54" s="9"/>
    </row>
    <row r="55" spans="2:14" ht="30" customHeight="1">
      <c r="B55" s="19" t="s">
        <v>102</v>
      </c>
      <c r="C55" s="19"/>
      <c r="D55" s="19"/>
      <c r="E55" s="19"/>
      <c r="F55" s="19"/>
      <c r="G55" s="19"/>
      <c r="H55" s="20">
        <f>SUM(H54:H54)</f>
        <v>45494.240000000005</v>
      </c>
      <c r="I55" s="19"/>
      <c r="J55" s="19"/>
      <c r="K55" s="19"/>
      <c r="L55" s="19"/>
      <c r="M55" s="19"/>
      <c r="N55" s="19"/>
    </row>
    <row r="56" spans="2:14" ht="24.95" customHeight="1">
      <c r="B56" s="47" t="s">
        <v>44</v>
      </c>
      <c r="C56" s="47"/>
      <c r="D56" s="47"/>
      <c r="E56" s="47"/>
      <c r="F56" s="47"/>
      <c r="G56" s="47"/>
      <c r="H56" s="47"/>
      <c r="I56" s="47"/>
      <c r="J56" s="47"/>
      <c r="K56" s="47"/>
      <c r="L56" s="47"/>
      <c r="M56" s="47"/>
      <c r="N56" s="47"/>
    </row>
    <row r="57" spans="2:14" ht="38.1" customHeight="1">
      <c r="B57" s="10" t="str">
        <f>Tarifas!B36</f>
        <v>YouTube</v>
      </c>
      <c r="C57" s="10" t="str">
        <f>Tarifas!C36</f>
        <v>Video 15–30 s</v>
      </c>
      <c r="D57" s="36">
        <f>Tarifas!E36</f>
        <v>6.9</v>
      </c>
      <c r="E57" s="40">
        <f>ROUNDDOWN(E25/$D57*1000,0)</f>
        <v>1902173</v>
      </c>
      <c r="F57" s="40">
        <f>ROUNDDOWN(F25/$D57*1000,0)</f>
        <v>815217</v>
      </c>
      <c r="G57" s="40">
        <f>SUM(E57:F57)</f>
        <v>2717390</v>
      </c>
      <c r="H57" s="11">
        <f>H25</f>
        <v>18750</v>
      </c>
      <c r="I57" s="13">
        <f>H57/$C$20</f>
        <v>0.15</v>
      </c>
      <c r="J57" s="9"/>
      <c r="K57" s="9"/>
      <c r="L57" s="9"/>
      <c r="M57" s="9"/>
      <c r="N57" s="9"/>
    </row>
    <row r="58" spans="2:14" ht="30" customHeight="1">
      <c r="B58" s="19" t="s">
        <v>103</v>
      </c>
      <c r="C58" s="19"/>
      <c r="D58" s="19"/>
      <c r="E58" s="19"/>
      <c r="F58" s="19"/>
      <c r="G58" s="19"/>
      <c r="H58" s="20">
        <f>SUM(H57:H57)</f>
        <v>18750</v>
      </c>
      <c r="I58" s="19"/>
      <c r="J58" s="19"/>
      <c r="K58" s="19"/>
      <c r="L58" s="19"/>
      <c r="M58" s="19"/>
      <c r="N58" s="19"/>
    </row>
    <row r="59" spans="2:14" ht="24.95" customHeight="1">
      <c r="B59" s="47" t="s">
        <v>46</v>
      </c>
      <c r="C59" s="47"/>
      <c r="D59" s="47"/>
      <c r="E59" s="47"/>
      <c r="F59" s="47"/>
      <c r="G59" s="47"/>
      <c r="H59" s="47"/>
      <c r="I59" s="47"/>
      <c r="J59" s="47"/>
      <c r="K59" s="47"/>
      <c r="L59" s="47"/>
      <c r="M59" s="47"/>
      <c r="N59" s="47"/>
    </row>
    <row r="60" spans="2:14" ht="38.1" customHeight="1">
      <c r="B60" s="10" t="str">
        <f>Tarifas!B38</f>
        <v>Gaming</v>
      </c>
      <c r="C60" s="10" t="str">
        <f>Tarifas!C38</f>
        <v>Admazing Video Reward</v>
      </c>
      <c r="D60" s="36">
        <f>Tarifas!E38</f>
        <v>0.115</v>
      </c>
      <c r="E60" s="40">
        <f>ROUNDDOWN(E26/$D60*1,0)</f>
        <v>152173</v>
      </c>
      <c r="F60" s="40">
        <f>ROUNDDOWN(F26/$D60*1,0)</f>
        <v>65217</v>
      </c>
      <c r="G60" s="40">
        <f>SUM(E60:F60)</f>
        <v>217390</v>
      </c>
      <c r="H60" s="11">
        <f>H26</f>
        <v>25000</v>
      </c>
      <c r="I60" s="13">
        <f>H60/$C$20</f>
        <v>0.2</v>
      </c>
      <c r="J60" s="9"/>
      <c r="K60" s="9"/>
      <c r="L60" s="9"/>
      <c r="M60" s="9"/>
      <c r="N60" s="9"/>
    </row>
    <row r="61" spans="2:14" ht="30" customHeight="1">
      <c r="B61" s="19" t="s">
        <v>104</v>
      </c>
      <c r="C61" s="19"/>
      <c r="D61" s="19"/>
      <c r="E61" s="19"/>
      <c r="F61" s="19"/>
      <c r="G61" s="19"/>
      <c r="H61" s="20">
        <f>SUM(H60:H60)</f>
        <v>25000</v>
      </c>
      <c r="I61" s="19"/>
      <c r="J61" s="19"/>
      <c r="K61" s="19"/>
      <c r="L61" s="19"/>
      <c r="M61" s="19"/>
      <c r="N61" s="19"/>
    </row>
    <row r="62" spans="2:14" ht="24.95" customHeight="1">
      <c r="B62" s="47" t="s">
        <v>45</v>
      </c>
      <c r="C62" s="47"/>
      <c r="D62" s="47"/>
      <c r="E62" s="47"/>
      <c r="F62" s="47"/>
      <c r="G62" s="47"/>
      <c r="H62" s="47"/>
      <c r="I62" s="47"/>
      <c r="J62" s="47"/>
      <c r="K62" s="47"/>
      <c r="L62" s="47"/>
      <c r="M62" s="47"/>
      <c r="N62" s="47"/>
    </row>
    <row r="63" spans="2:14" ht="38.1" customHeight="1">
      <c r="B63" s="10" t="str">
        <f>Tarifas!B37</f>
        <v>Programática</v>
      </c>
      <c r="C63" s="10" t="str">
        <f>Tarifas!C37</f>
        <v>Display premium local</v>
      </c>
      <c r="D63" s="36">
        <f>Tarifas!E37</f>
        <v>9.1999999999999993</v>
      </c>
      <c r="E63" s="40">
        <f>ROUNDDOWN(E27/$D63*1000,0)</f>
        <v>475543</v>
      </c>
      <c r="F63" s="40">
        <f>ROUNDDOWN(F27/$D63*1000,0)</f>
        <v>203804</v>
      </c>
      <c r="G63" s="40">
        <f>SUM(E63:F63)</f>
        <v>679347</v>
      </c>
      <c r="H63" s="11">
        <f>H27</f>
        <v>6250</v>
      </c>
      <c r="I63" s="13">
        <f>H63/$C$20</f>
        <v>0.05</v>
      </c>
      <c r="J63" s="9"/>
      <c r="K63" s="9"/>
      <c r="L63" s="9"/>
      <c r="M63" s="9"/>
      <c r="N63" s="9"/>
    </row>
    <row r="64" spans="2:14" ht="30" customHeight="1">
      <c r="B64" s="19" t="s">
        <v>150</v>
      </c>
      <c r="C64" s="19"/>
      <c r="D64" s="19"/>
      <c r="E64" s="19"/>
      <c r="F64" s="19"/>
      <c r="G64" s="19"/>
      <c r="H64" s="20">
        <f>SUM(H63:H63)</f>
        <v>6250</v>
      </c>
      <c r="I64" s="19"/>
      <c r="J64" s="19"/>
      <c r="K64" s="19"/>
      <c r="L64" s="19"/>
      <c r="M64" s="19"/>
      <c r="N64" s="19"/>
    </row>
    <row r="65" spans="2:14" ht="24.95" customHeight="1">
      <c r="B65" s="47" t="s">
        <v>47</v>
      </c>
      <c r="C65" s="47"/>
      <c r="D65" s="47"/>
      <c r="E65" s="47"/>
      <c r="F65" s="47"/>
      <c r="G65" s="47"/>
      <c r="H65" s="47"/>
      <c r="I65" s="47"/>
      <c r="J65" s="47"/>
      <c r="K65" s="47"/>
      <c r="L65" s="47"/>
      <c r="M65" s="47"/>
      <c r="N65" s="47"/>
    </row>
    <row r="66" spans="2:14" ht="38.1" customHeight="1">
      <c r="B66" s="10" t="str">
        <f>Tarifas!B39</f>
        <v>Creadores e integraciones</v>
      </c>
      <c r="C66" s="10" t="str">
        <f>Tarifas!C39</f>
        <v>1 video + 2 Stories</v>
      </c>
      <c r="D66" s="36">
        <f>Tarifas!E39</f>
        <v>2875</v>
      </c>
      <c r="E66" s="37">
        <f>E28/$D$28</f>
        <v>2.8764730434782613</v>
      </c>
      <c r="F66" s="37">
        <f>F28/$D$28</f>
        <v>1.3423547826086957</v>
      </c>
      <c r="G66" s="37">
        <f>SUM(E66:F66)</f>
        <v>4.2188278260869572</v>
      </c>
      <c r="H66" s="11">
        <f>H28</f>
        <v>12129.130000000001</v>
      </c>
      <c r="I66" s="13">
        <f>H66/$C$20</f>
        <v>9.7033040000000015E-2</v>
      </c>
      <c r="J66" s="9"/>
      <c r="K66" s="9"/>
      <c r="L66" s="9"/>
      <c r="M66" s="9"/>
      <c r="N66" s="9"/>
    </row>
    <row r="67" spans="2:14" ht="30" customHeight="1">
      <c r="B67" s="19" t="s">
        <v>105</v>
      </c>
      <c r="C67" s="19"/>
      <c r="D67" s="19"/>
      <c r="E67" s="19"/>
      <c r="F67" s="19"/>
      <c r="G67" s="19"/>
      <c r="H67" s="20">
        <f>SUM(H66:H66)</f>
        <v>12129.130000000001</v>
      </c>
      <c r="I67" s="19"/>
      <c r="J67" s="19"/>
      <c r="K67" s="19"/>
      <c r="L67" s="19"/>
      <c r="M67" s="19"/>
      <c r="N67" s="19"/>
    </row>
    <row r="68" spans="2:14" ht="27.95" customHeight="1">
      <c r="B68" s="45" t="s">
        <v>106</v>
      </c>
      <c r="C68" s="45"/>
      <c r="D68" s="45"/>
      <c r="E68" s="45"/>
      <c r="F68" s="45"/>
      <c r="G68" s="45"/>
      <c r="H68" s="45"/>
      <c r="I68" s="45"/>
      <c r="J68" s="45"/>
      <c r="K68" s="45"/>
      <c r="L68" s="45"/>
      <c r="M68" s="45"/>
      <c r="N68" s="45"/>
    </row>
    <row r="70" spans="2:14" ht="24.95" customHeight="1">
      <c r="B70" s="47" t="s">
        <v>136</v>
      </c>
      <c r="C70" s="47"/>
      <c r="D70" s="47"/>
      <c r="E70" s="47"/>
      <c r="F70" s="47"/>
      <c r="G70" s="47"/>
      <c r="H70" s="47"/>
      <c r="I70" s="47"/>
      <c r="J70" s="47"/>
      <c r="K70" s="47"/>
      <c r="L70" s="47"/>
      <c r="M70" s="47"/>
      <c r="N70" s="47"/>
    </row>
    <row r="71" spans="2:14" ht="42" customHeight="1">
      <c r="B71" s="6" t="s">
        <v>38</v>
      </c>
      <c r="C71" s="7" t="s">
        <v>137</v>
      </c>
      <c r="D71" s="7" t="s">
        <v>138</v>
      </c>
      <c r="E71" s="7" t="s">
        <v>139</v>
      </c>
      <c r="F71" s="50" t="s">
        <v>140</v>
      </c>
      <c r="G71" s="51"/>
      <c r="H71" s="51"/>
      <c r="I71" s="51"/>
      <c r="J71" s="51"/>
      <c r="K71" s="51"/>
      <c r="L71" s="51"/>
      <c r="M71" s="51"/>
      <c r="N71" s="51"/>
    </row>
    <row r="72" spans="2:14" ht="60" customHeight="1">
      <c r="B72" s="10" t="s">
        <v>8</v>
      </c>
      <c r="C72" s="10" t="s">
        <v>141</v>
      </c>
      <c r="D72" s="10" t="s">
        <v>141</v>
      </c>
      <c r="E72" s="43" t="s">
        <v>141</v>
      </c>
      <c r="F72" s="48" t="s">
        <v>142</v>
      </c>
      <c r="G72" s="48"/>
      <c r="H72" s="48"/>
      <c r="I72" s="48"/>
      <c r="J72" s="48"/>
      <c r="K72" s="48"/>
      <c r="L72" s="48"/>
      <c r="M72" s="48"/>
      <c r="N72" s="48"/>
    </row>
    <row r="73" spans="2:14" ht="60" customHeight="1">
      <c r="B73" s="15" t="s">
        <v>43</v>
      </c>
      <c r="C73" s="15" t="s">
        <v>141</v>
      </c>
      <c r="D73" s="15" t="s">
        <v>141</v>
      </c>
      <c r="E73" s="44">
        <f>G24</f>
        <v>5274694</v>
      </c>
      <c r="F73" s="49" t="s">
        <v>144</v>
      </c>
      <c r="G73" s="49"/>
      <c r="H73" s="49"/>
      <c r="I73" s="49"/>
      <c r="J73" s="49"/>
      <c r="K73" s="49"/>
      <c r="L73" s="49"/>
      <c r="M73" s="49"/>
      <c r="N73" s="49"/>
    </row>
    <row r="74" spans="2:14" ht="60" customHeight="1">
      <c r="B74" s="10" t="s">
        <v>44</v>
      </c>
      <c r="C74" s="10" t="s">
        <v>141</v>
      </c>
      <c r="D74" s="10" t="s">
        <v>141</v>
      </c>
      <c r="E74" s="43">
        <f>G25</f>
        <v>2717390</v>
      </c>
      <c r="F74" s="48" t="s">
        <v>144</v>
      </c>
      <c r="G74" s="48"/>
      <c r="H74" s="48"/>
      <c r="I74" s="48"/>
      <c r="J74" s="48"/>
      <c r="K74" s="48"/>
      <c r="L74" s="48"/>
      <c r="M74" s="48"/>
      <c r="N74" s="48"/>
    </row>
    <row r="75" spans="2:14" ht="60" customHeight="1">
      <c r="B75" s="15" t="s">
        <v>46</v>
      </c>
      <c r="C75" s="15" t="s">
        <v>141</v>
      </c>
      <c r="D75" s="15" t="s">
        <v>141</v>
      </c>
      <c r="E75" s="44" t="s">
        <v>141</v>
      </c>
      <c r="F75" s="49" t="s">
        <v>197</v>
      </c>
      <c r="G75" s="49"/>
      <c r="H75" s="49"/>
      <c r="I75" s="49"/>
      <c r="J75" s="49"/>
      <c r="K75" s="49"/>
      <c r="L75" s="49"/>
      <c r="M75" s="49"/>
      <c r="N75" s="49"/>
    </row>
    <row r="76" spans="2:14" ht="60" customHeight="1">
      <c r="B76" s="10" t="s">
        <v>45</v>
      </c>
      <c r="C76" s="10" t="s">
        <v>141</v>
      </c>
      <c r="D76" s="10" t="s">
        <v>141</v>
      </c>
      <c r="E76" s="43">
        <f>G27</f>
        <v>679347</v>
      </c>
      <c r="F76" s="48" t="s">
        <v>144</v>
      </c>
      <c r="G76" s="48"/>
      <c r="H76" s="48"/>
      <c r="I76" s="48"/>
      <c r="J76" s="48"/>
      <c r="K76" s="48"/>
      <c r="L76" s="48"/>
      <c r="M76" s="48"/>
      <c r="N76" s="48"/>
    </row>
    <row r="77" spans="2:14" ht="60" customHeight="1">
      <c r="B77" s="15" t="s">
        <v>47</v>
      </c>
      <c r="C77" s="15" t="s">
        <v>141</v>
      </c>
      <c r="D77" s="15" t="s">
        <v>141</v>
      </c>
      <c r="E77" s="44" t="s">
        <v>141</v>
      </c>
      <c r="F77" s="49" t="s">
        <v>151</v>
      </c>
      <c r="G77" s="49"/>
      <c r="H77" s="49"/>
      <c r="I77" s="49"/>
      <c r="J77" s="49"/>
      <c r="K77" s="49"/>
      <c r="L77" s="49"/>
      <c r="M77" s="49"/>
      <c r="N77" s="49"/>
    </row>
  </sheetData>
  <mergeCells count="26">
    <mergeCell ref="B2:O2"/>
    <mergeCell ref="B4:O4"/>
    <mergeCell ref="B8:O8"/>
    <mergeCell ref="B16:N16"/>
    <mergeCell ref="B17:N17"/>
    <mergeCell ref="B18:N18"/>
    <mergeCell ref="B19:N19"/>
    <mergeCell ref="B31:N31"/>
    <mergeCell ref="B32:N32"/>
    <mergeCell ref="B34:N34"/>
    <mergeCell ref="B43:N43"/>
    <mergeCell ref="B45:N45"/>
    <mergeCell ref="B53:N53"/>
    <mergeCell ref="B56:N56"/>
    <mergeCell ref="B59:N59"/>
    <mergeCell ref="B62:N62"/>
    <mergeCell ref="B65:N65"/>
    <mergeCell ref="B68:N68"/>
    <mergeCell ref="B70:N70"/>
    <mergeCell ref="F71:N71"/>
    <mergeCell ref="F77:N77"/>
    <mergeCell ref="F72:N72"/>
    <mergeCell ref="F73:N73"/>
    <mergeCell ref="F74:N74"/>
    <mergeCell ref="F75:N75"/>
    <mergeCell ref="F76:N76"/>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192667"/>
  </sheetPr>
  <dimension ref="A1:O71"/>
  <sheetViews>
    <sheetView showGridLines="0" workbookViewId="0">
      <pane xSplit="2" ySplit="10" topLeftCell="F11" activePane="bottomRight" state="frozen"/>
      <selection pane="bottomRight" activeCell="B24" sqref="B24:N24"/>
      <selection pane="bottomLeft" activeCell="B24" sqref="B24:N24"/>
      <selection pane="topRight" activeCell="B24" sqref="B24:N24"/>
    </sheetView>
  </sheetViews>
  <sheetFormatPr defaultColWidth="8.875" defaultRowHeight="15"/>
  <cols>
    <col min="1" max="1" width="3" style="2" customWidth="1"/>
    <col min="2" max="2" width="32" style="2" customWidth="1"/>
    <col min="3" max="3" width="28" style="2" customWidth="1"/>
    <col min="4" max="4" width="19" style="2" customWidth="1"/>
    <col min="5" max="15" width="16" style="2" customWidth="1"/>
    <col min="16" max="16384" width="8.875" style="2"/>
  </cols>
  <sheetData>
    <row r="1" spans="1:15">
      <c r="A1" s="1"/>
      <c r="B1" s="1"/>
      <c r="C1" s="1"/>
      <c r="D1" s="1"/>
      <c r="E1" s="1"/>
      <c r="F1" s="1"/>
      <c r="G1" s="1"/>
      <c r="H1" s="1"/>
      <c r="I1" s="1"/>
      <c r="J1" s="1"/>
      <c r="K1" s="1"/>
      <c r="L1" s="1"/>
      <c r="M1" s="1"/>
      <c r="N1" s="1"/>
      <c r="O1" s="1"/>
    </row>
    <row r="2" spans="1:15" ht="32.1" customHeight="1">
      <c r="A2" s="1"/>
      <c r="B2" s="46" t="s">
        <v>198</v>
      </c>
      <c r="C2" s="46"/>
      <c r="D2" s="46"/>
      <c r="E2" s="46"/>
      <c r="F2" s="46"/>
      <c r="G2" s="46"/>
      <c r="H2" s="46"/>
      <c r="I2" s="46"/>
      <c r="J2" s="46"/>
      <c r="K2" s="46"/>
      <c r="L2" s="46"/>
      <c r="M2" s="46"/>
      <c r="N2" s="46"/>
      <c r="O2" s="46"/>
    </row>
    <row r="3" spans="1:15" ht="3.95" customHeight="1">
      <c r="A3" s="1"/>
      <c r="B3" s="3"/>
      <c r="C3" s="3"/>
      <c r="D3" s="3"/>
      <c r="E3" s="3"/>
      <c r="F3" s="3"/>
      <c r="G3" s="3"/>
      <c r="H3" s="3"/>
      <c r="I3" s="3"/>
      <c r="J3" s="3"/>
      <c r="K3" s="3"/>
      <c r="L3" s="3"/>
      <c r="M3" s="3"/>
      <c r="N3" s="3"/>
      <c r="O3" s="3"/>
    </row>
    <row r="4" spans="1:15" ht="30" customHeight="1">
      <c r="A4" s="1"/>
      <c r="B4" s="45" t="s">
        <v>1</v>
      </c>
      <c r="C4" s="45"/>
      <c r="D4" s="45"/>
      <c r="E4" s="45"/>
      <c r="F4" s="45"/>
      <c r="G4" s="45"/>
      <c r="H4" s="45"/>
      <c r="I4" s="45"/>
      <c r="J4" s="45"/>
      <c r="K4" s="45"/>
      <c r="L4" s="45"/>
      <c r="M4" s="45"/>
      <c r="N4" s="45"/>
      <c r="O4" s="45"/>
    </row>
    <row r="5" spans="1:15">
      <c r="A5" s="1"/>
      <c r="B5" s="1"/>
      <c r="C5" s="1"/>
      <c r="D5" s="1"/>
      <c r="E5" s="1"/>
      <c r="F5" s="1"/>
      <c r="G5" s="1"/>
      <c r="H5" s="1"/>
      <c r="I5" s="1"/>
      <c r="J5" s="1"/>
      <c r="K5" s="1"/>
      <c r="L5" s="1"/>
      <c r="M5" s="1"/>
      <c r="N5" s="1"/>
      <c r="O5" s="1"/>
    </row>
    <row r="6" spans="1:15" ht="21">
      <c r="A6" s="1"/>
      <c r="B6" s="1" t="s">
        <v>50</v>
      </c>
      <c r="C6" s="32">
        <f>'AGA y criterios'!D16</f>
        <v>140000</v>
      </c>
      <c r="D6" s="1"/>
      <c r="E6" s="1" t="s">
        <v>6</v>
      </c>
      <c r="F6" s="33">
        <f>L12</f>
        <v>140000</v>
      </c>
      <c r="G6" s="1"/>
      <c r="H6" s="1" t="s">
        <v>3</v>
      </c>
      <c r="I6" s="5">
        <f>ROUND(C6-F6,2)</f>
        <v>0</v>
      </c>
      <c r="J6" s="1"/>
      <c r="K6" s="1" t="s">
        <v>180</v>
      </c>
      <c r="L6" s="1"/>
      <c r="M6" s="33">
        <f>'AGA y criterios'!E16</f>
        <v>40000</v>
      </c>
      <c r="N6" s="1"/>
      <c r="O6" s="1"/>
    </row>
    <row r="7" spans="1:15">
      <c r="A7" s="1"/>
      <c r="B7" s="1"/>
      <c r="C7" s="1"/>
      <c r="D7" s="1"/>
      <c r="E7" s="1"/>
      <c r="F7" s="1"/>
      <c r="G7" s="1"/>
      <c r="H7" s="1"/>
      <c r="I7" s="1"/>
      <c r="J7" s="1"/>
      <c r="K7" s="1"/>
      <c r="L7" s="1"/>
      <c r="M7" s="1"/>
      <c r="N7" s="1"/>
      <c r="O7" s="1"/>
    </row>
    <row r="8" spans="1:15" ht="30" customHeight="1">
      <c r="A8" s="1"/>
      <c r="B8" s="45" t="s">
        <v>52</v>
      </c>
      <c r="C8" s="45"/>
      <c r="D8" s="45"/>
      <c r="E8" s="45"/>
      <c r="F8" s="45"/>
      <c r="G8" s="45"/>
      <c r="H8" s="45"/>
      <c r="I8" s="45"/>
      <c r="J8" s="45"/>
      <c r="K8" s="45"/>
      <c r="L8" s="45"/>
      <c r="M8" s="45"/>
      <c r="N8" s="45"/>
      <c r="O8" s="45"/>
    </row>
    <row r="10" spans="1:15" ht="42" customHeight="1">
      <c r="B10" s="6" t="s">
        <v>53</v>
      </c>
      <c r="C10" s="7" t="s">
        <v>54</v>
      </c>
      <c r="D10" s="7" t="s">
        <v>8</v>
      </c>
      <c r="E10" s="7" t="s">
        <v>9</v>
      </c>
      <c r="F10" s="7" t="s">
        <v>10</v>
      </c>
      <c r="G10" s="7" t="s">
        <v>43</v>
      </c>
      <c r="H10" s="7" t="s">
        <v>44</v>
      </c>
      <c r="I10" s="7" t="s">
        <v>45</v>
      </c>
      <c r="J10" s="7" t="s">
        <v>46</v>
      </c>
      <c r="K10" s="7" t="s">
        <v>12</v>
      </c>
      <c r="L10" s="7" t="s">
        <v>55</v>
      </c>
      <c r="M10" s="7" t="s">
        <v>3</v>
      </c>
      <c r="N10" s="8" t="s">
        <v>56</v>
      </c>
    </row>
    <row r="11" spans="1:15" ht="30.95" customHeight="1">
      <c r="B11" s="10" t="s">
        <v>199</v>
      </c>
      <c r="C11" s="11">
        <f>'AGA y criterios'!D40</f>
        <v>140000</v>
      </c>
      <c r="D11" s="11">
        <f>H23</f>
        <v>39356.14</v>
      </c>
      <c r="E11" s="11">
        <v>0</v>
      </c>
      <c r="F11" s="11">
        <v>0</v>
      </c>
      <c r="G11" s="11">
        <f>H24</f>
        <v>44896.44</v>
      </c>
      <c r="H11" s="11">
        <f>H25</f>
        <v>28000</v>
      </c>
      <c r="I11" s="11">
        <f>H26</f>
        <v>7000</v>
      </c>
      <c r="J11" s="11">
        <v>0</v>
      </c>
      <c r="K11" s="11">
        <f>H27</f>
        <v>20747.419999999998</v>
      </c>
      <c r="L11" s="11">
        <f>H28</f>
        <v>140000</v>
      </c>
      <c r="M11" s="11">
        <f>ROUND(C11-L11,2)</f>
        <v>0</v>
      </c>
      <c r="N11" s="13">
        <f>L11/$C$6</f>
        <v>1</v>
      </c>
    </row>
    <row r="12" spans="1:15" ht="30" customHeight="1">
      <c r="B12" s="34" t="s">
        <v>57</v>
      </c>
      <c r="C12" s="20">
        <f t="shared" ref="C12:N12" si="0">SUM(C11:C11)</f>
        <v>140000</v>
      </c>
      <c r="D12" s="20">
        <f t="shared" si="0"/>
        <v>39356.14</v>
      </c>
      <c r="E12" s="20">
        <f t="shared" si="0"/>
        <v>0</v>
      </c>
      <c r="F12" s="20">
        <f t="shared" si="0"/>
        <v>0</v>
      </c>
      <c r="G12" s="20">
        <f t="shared" si="0"/>
        <v>44896.44</v>
      </c>
      <c r="H12" s="20">
        <f t="shared" si="0"/>
        <v>28000</v>
      </c>
      <c r="I12" s="20">
        <f t="shared" si="0"/>
        <v>7000</v>
      </c>
      <c r="J12" s="20">
        <f t="shared" si="0"/>
        <v>0</v>
      </c>
      <c r="K12" s="20">
        <f t="shared" si="0"/>
        <v>20747.419999999998</v>
      </c>
      <c r="L12" s="20">
        <f t="shared" si="0"/>
        <v>140000</v>
      </c>
      <c r="M12" s="20">
        <f t="shared" si="0"/>
        <v>0</v>
      </c>
      <c r="N12" s="22">
        <f t="shared" si="0"/>
        <v>1</v>
      </c>
    </row>
    <row r="16" spans="1:15" ht="24.95" customHeight="1">
      <c r="B16" s="47" t="s">
        <v>200</v>
      </c>
      <c r="C16" s="47"/>
      <c r="D16" s="47"/>
      <c r="E16" s="47"/>
      <c r="F16" s="47"/>
      <c r="G16" s="47"/>
      <c r="H16" s="47"/>
      <c r="I16" s="47"/>
      <c r="J16" s="47"/>
      <c r="K16" s="47"/>
      <c r="L16" s="47"/>
      <c r="M16" s="47"/>
      <c r="N16" s="47"/>
    </row>
    <row r="17" spans="2:14" ht="32.1" customHeight="1">
      <c r="B17" s="45" t="s">
        <v>201</v>
      </c>
      <c r="C17" s="45"/>
      <c r="D17" s="45"/>
      <c r="E17" s="45"/>
      <c r="F17" s="45"/>
      <c r="G17" s="45"/>
      <c r="H17" s="45"/>
      <c r="I17" s="45"/>
      <c r="J17" s="45"/>
      <c r="K17" s="45"/>
      <c r="L17" s="45"/>
      <c r="M17" s="45"/>
      <c r="N17" s="45"/>
    </row>
    <row r="18" spans="2:14" ht="32.1" customHeight="1">
      <c r="B18" s="45" t="s">
        <v>202</v>
      </c>
      <c r="C18" s="45"/>
      <c r="D18" s="45"/>
      <c r="E18" s="45"/>
      <c r="F18" s="45"/>
      <c r="G18" s="45"/>
      <c r="H18" s="45"/>
      <c r="I18" s="45"/>
      <c r="J18" s="45"/>
      <c r="K18" s="45"/>
      <c r="L18" s="45"/>
      <c r="M18" s="45"/>
      <c r="N18" s="45"/>
    </row>
    <row r="19" spans="2:14" ht="33.950000000000003" customHeight="1">
      <c r="B19" s="45" t="s">
        <v>203</v>
      </c>
      <c r="C19" s="45"/>
      <c r="D19" s="45"/>
      <c r="E19" s="45"/>
      <c r="F19" s="45"/>
      <c r="G19" s="45"/>
      <c r="H19" s="45"/>
      <c r="I19" s="45"/>
      <c r="J19" s="45"/>
      <c r="K19" s="45"/>
      <c r="L19" s="45"/>
      <c r="M19" s="45"/>
      <c r="N19" s="45"/>
    </row>
    <row r="20" spans="2:14">
      <c r="B20" s="2" t="s">
        <v>61</v>
      </c>
      <c r="C20" s="35">
        <f>'AGA y criterios'!D40</f>
        <v>140000</v>
      </c>
    </row>
    <row r="22" spans="2:14" ht="42" customHeight="1">
      <c r="B22" s="6" t="s">
        <v>34</v>
      </c>
      <c r="C22" s="7" t="s">
        <v>63</v>
      </c>
      <c r="D22" s="7" t="s">
        <v>64</v>
      </c>
      <c r="E22" s="7" t="s">
        <v>69</v>
      </c>
      <c r="F22" s="7" t="s">
        <v>119</v>
      </c>
      <c r="G22" s="7" t="s">
        <v>72</v>
      </c>
      <c r="H22" s="7" t="s">
        <v>2</v>
      </c>
      <c r="I22" s="8" t="s">
        <v>13</v>
      </c>
    </row>
    <row r="23" spans="2:14" ht="30.95" customHeight="1">
      <c r="B23" s="10" t="s">
        <v>8</v>
      </c>
      <c r="C23" s="10" t="s">
        <v>73</v>
      </c>
      <c r="D23" s="36">
        <f>SUM(Tarifas!E7:E12)</f>
        <v>10068.25</v>
      </c>
      <c r="E23" s="11">
        <f>ROUND($C$20*(SUM('Base de distribución'!E89,'Base de distribución'!E90)/SUM('Base de distribución'!E89,'Base de distribución'!E90,'Base de distribución'!E91,'Base de distribución'!E92,'Base de distribución'!E93,'Base de distribución'!E94,'Base de distribución'!E95,'Base de distribución'!E96,'Base de distribución'!E97,'Base de distribución'!E98)/2),2)</f>
        <v>19678.07</v>
      </c>
      <c r="F23" s="11">
        <f>ROUND($C$20*(SUM('Base de distribución'!E89,'Base de distribución'!E90)/SUM('Base de distribución'!E89,'Base de distribución'!E90,'Base de distribución'!E91,'Base de distribución'!E92,'Base de distribución'!E93,'Base de distribución'!E94,'Base de distribución'!E95,'Base de distribución'!E96,'Base de distribución'!E97,'Base de distribución'!E98)/2),2)</f>
        <v>19678.07</v>
      </c>
      <c r="G23" s="37">
        <f>SUM(G44:G49)</f>
        <v>23.453613090656269</v>
      </c>
      <c r="H23" s="11">
        <f>SUM(E23:F23)</f>
        <v>39356.14</v>
      </c>
      <c r="I23" s="13">
        <f>H23/$C$20</f>
        <v>0.28111528571428573</v>
      </c>
      <c r="J23" s="9"/>
      <c r="K23" s="9"/>
      <c r="L23" s="9"/>
      <c r="M23" s="9"/>
      <c r="N23" s="9"/>
    </row>
    <row r="24" spans="2:14" ht="30.95" customHeight="1">
      <c r="B24" s="15" t="s">
        <v>43</v>
      </c>
      <c r="C24" s="15" t="s">
        <v>75</v>
      </c>
      <c r="D24" s="38">
        <f>Tarifas!E35</f>
        <v>8.625</v>
      </c>
      <c r="E24" s="16">
        <f>ROUND($C$20*(SUM('Base de distribución'!E91,'Base de distribución'!E92)/SUM('Base de distribución'!E89,'Base de distribución'!E90,'Base de distribución'!E91,'Base de distribución'!E92,'Base de distribución'!E93,'Base de distribución'!E94,'Base de distribución'!E95,'Base de distribución'!E96,'Base de distribución'!E97,'Base de distribución'!E98)/2),2)</f>
        <v>22448.22</v>
      </c>
      <c r="F24" s="16">
        <f>ROUND($C$20*(SUM('Base de distribución'!E91,'Base de distribución'!E92)/SUM('Base de distribución'!E89,'Base de distribución'!E90,'Base de distribución'!E91,'Base de distribución'!E92,'Base de distribución'!E93,'Base de distribución'!E94,'Base de distribución'!E95,'Base de distribución'!E96,'Base de distribución'!E97,'Base de distribución'!E98)/2),2)</f>
        <v>22448.22</v>
      </c>
      <c r="G24" s="41">
        <f>SUM(G52:G52)</f>
        <v>5205384</v>
      </c>
      <c r="H24" s="16">
        <f>SUM(E24:F24)</f>
        <v>44896.44</v>
      </c>
      <c r="I24" s="18">
        <f>H24/$C$20</f>
        <v>0.32068885714285716</v>
      </c>
      <c r="J24" s="14"/>
      <c r="K24" s="14"/>
      <c r="L24" s="14"/>
      <c r="M24" s="14"/>
      <c r="N24" s="14"/>
    </row>
    <row r="25" spans="2:14" ht="30.95" customHeight="1">
      <c r="B25" s="10" t="s">
        <v>37</v>
      </c>
      <c r="C25" s="10" t="s">
        <v>75</v>
      </c>
      <c r="D25" s="36">
        <f>Tarifas!E36</f>
        <v>6.9</v>
      </c>
      <c r="E25" s="11">
        <f>ROUND($C$20*(SUM('Base de distribución'!E93,'Base de distribución'!E94)/SUM('Base de distribución'!E89,'Base de distribución'!E90,'Base de distribución'!E91,'Base de distribución'!E92,'Base de distribución'!E93,'Base de distribución'!E94,'Base de distribución'!E95,'Base de distribución'!E96,'Base de distribución'!E97,'Base de distribución'!E98)/2),2)</f>
        <v>14000</v>
      </c>
      <c r="F25" s="11">
        <f>ROUND($C$20*(SUM('Base de distribución'!E93,'Base de distribución'!E94)/SUM('Base de distribución'!E89,'Base de distribución'!E90,'Base de distribución'!E91,'Base de distribución'!E92,'Base de distribución'!E93,'Base de distribución'!E94,'Base de distribución'!E95,'Base de distribución'!E96,'Base de distribución'!E97,'Base de distribución'!E98)/2),2)</f>
        <v>14000</v>
      </c>
      <c r="G25" s="40">
        <f>SUM(G55:G55)</f>
        <v>4057970</v>
      </c>
      <c r="H25" s="11">
        <f>SUM(E25:F25)</f>
        <v>28000</v>
      </c>
      <c r="I25" s="13">
        <f>H25/$C$20</f>
        <v>0.2</v>
      </c>
      <c r="J25" s="9"/>
      <c r="K25" s="9"/>
      <c r="L25" s="9"/>
      <c r="M25" s="9"/>
      <c r="N25" s="9"/>
    </row>
    <row r="26" spans="2:14" ht="30.95" customHeight="1">
      <c r="B26" s="15" t="s">
        <v>45</v>
      </c>
      <c r="C26" s="15" t="s">
        <v>75</v>
      </c>
      <c r="D26" s="38">
        <f>Tarifas!E37</f>
        <v>9.1999999999999993</v>
      </c>
      <c r="E26" s="16">
        <f>ROUND($C$20*(SUM('Base de distribución'!E95,'Base de distribución'!E96)/SUM('Base de distribución'!E89,'Base de distribución'!E90,'Base de distribución'!E91,'Base de distribución'!E92,'Base de distribución'!E93,'Base de distribución'!E94,'Base de distribución'!E95,'Base de distribución'!E96,'Base de distribución'!E97,'Base de distribución'!E98)/2),2)</f>
        <v>3500</v>
      </c>
      <c r="F26" s="16">
        <f>ROUND($C$20*(SUM('Base de distribución'!E95,'Base de distribución'!E96)/SUM('Base de distribución'!E89,'Base de distribución'!E90,'Base de distribución'!E91,'Base de distribución'!E92,'Base de distribución'!E93,'Base de distribución'!E94,'Base de distribución'!E95,'Base de distribución'!E96,'Base de distribución'!E97,'Base de distribución'!E98)/2),2)</f>
        <v>3500</v>
      </c>
      <c r="G26" s="41">
        <f>SUM(G58:G58)</f>
        <v>760868</v>
      </c>
      <c r="H26" s="16">
        <f>SUM(E26:F26)</f>
        <v>7000</v>
      </c>
      <c r="I26" s="18">
        <f>H26/$C$20</f>
        <v>0.05</v>
      </c>
      <c r="J26" s="14"/>
      <c r="K26" s="14"/>
      <c r="L26" s="14"/>
      <c r="M26" s="14"/>
      <c r="N26" s="14"/>
    </row>
    <row r="27" spans="2:14" ht="30.95" customHeight="1">
      <c r="B27" s="10" t="s">
        <v>47</v>
      </c>
      <c r="C27" s="10" t="s">
        <v>77</v>
      </c>
      <c r="D27" s="36">
        <f>Tarifas!E39</f>
        <v>2875</v>
      </c>
      <c r="E27" s="11">
        <f>ROUND($C$20*(SUM('Base de distribución'!E97,'Base de distribución'!E98)/SUM('Base de distribución'!E89,'Base de distribución'!E90,'Base de distribución'!E91,'Base de distribución'!E92,'Base de distribución'!E93,'Base de distribución'!E94,'Base de distribución'!E95,'Base de distribución'!E96,'Base de distribución'!E97,'Base de distribución'!E98)/2),2)</f>
        <v>10373.709999999999</v>
      </c>
      <c r="F27" s="11">
        <f>ROUND($C$20-SUM(E23:F23,E24:F24,E25:F25,E26:F26,E27:E27),2)</f>
        <v>10373.709999999999</v>
      </c>
      <c r="G27" s="37">
        <f>G61*Tarifas!F39</f>
        <v>21.649481739130433</v>
      </c>
      <c r="H27" s="11">
        <f>SUM(E27:F27)</f>
        <v>20747.419999999998</v>
      </c>
      <c r="I27" s="13">
        <f>H27/$C$20</f>
        <v>0.14819585714285713</v>
      </c>
      <c r="J27" s="9"/>
      <c r="K27" s="9"/>
      <c r="L27" s="9"/>
      <c r="M27" s="9"/>
      <c r="N27" s="9"/>
    </row>
    <row r="28" spans="2:14" ht="30" customHeight="1">
      <c r="B28" s="19" t="s">
        <v>78</v>
      </c>
      <c r="C28" s="19"/>
      <c r="D28" s="19"/>
      <c r="E28" s="20">
        <f>SUM(E23:E27)</f>
        <v>70000</v>
      </c>
      <c r="F28" s="20">
        <f>SUM(F23:F27)</f>
        <v>70000</v>
      </c>
      <c r="G28" s="19"/>
      <c r="H28" s="20">
        <f>SUM(H23:H27)</f>
        <v>140000</v>
      </c>
      <c r="I28" s="22">
        <f>SUM(I23:I27)</f>
        <v>1.0000000000000002</v>
      </c>
      <c r="J28" s="19"/>
      <c r="K28" s="19"/>
      <c r="L28" s="19"/>
      <c r="M28" s="19"/>
      <c r="N28" s="19"/>
    </row>
    <row r="29" spans="2:14">
      <c r="B29" s="2" t="s">
        <v>79</v>
      </c>
      <c r="C29" s="42">
        <f>ROUND(C20-H28,2)</f>
        <v>0</v>
      </c>
    </row>
    <row r="30" spans="2:14" ht="32.1" customHeight="1">
      <c r="B30" s="45" t="s">
        <v>80</v>
      </c>
      <c r="C30" s="45"/>
      <c r="D30" s="45"/>
      <c r="E30" s="45"/>
      <c r="F30" s="45"/>
      <c r="G30" s="45"/>
      <c r="H30" s="45"/>
      <c r="I30" s="45"/>
      <c r="J30" s="45"/>
      <c r="K30" s="45"/>
      <c r="L30" s="45"/>
      <c r="M30" s="45"/>
      <c r="N30" s="45"/>
    </row>
    <row r="31" spans="2:14" ht="32.1" customHeight="1">
      <c r="B31" s="45" t="s">
        <v>81</v>
      </c>
      <c r="C31" s="45"/>
      <c r="D31" s="45"/>
      <c r="E31" s="45"/>
      <c r="F31" s="45"/>
      <c r="G31" s="45"/>
      <c r="H31" s="45"/>
      <c r="I31" s="45"/>
      <c r="J31" s="45"/>
      <c r="K31" s="45"/>
      <c r="L31" s="45"/>
      <c r="M31" s="45"/>
      <c r="N31" s="45"/>
    </row>
    <row r="33" spans="2:14" ht="24.95" customHeight="1">
      <c r="B33" s="47" t="s">
        <v>82</v>
      </c>
      <c r="C33" s="47"/>
      <c r="D33" s="47"/>
      <c r="E33" s="47"/>
      <c r="F33" s="47"/>
      <c r="G33" s="47"/>
      <c r="H33" s="47"/>
      <c r="I33" s="47"/>
      <c r="J33" s="47"/>
      <c r="K33" s="47"/>
      <c r="L33" s="47"/>
      <c r="M33" s="47"/>
      <c r="N33" s="47"/>
    </row>
    <row r="34" spans="2:14" ht="42" customHeight="1">
      <c r="B34" s="6" t="s">
        <v>38</v>
      </c>
      <c r="C34" s="7" t="s">
        <v>83</v>
      </c>
      <c r="D34" s="7" t="s">
        <v>84</v>
      </c>
      <c r="E34" s="7" t="s">
        <v>69</v>
      </c>
      <c r="F34" s="8" t="s">
        <v>119</v>
      </c>
    </row>
    <row r="35" spans="2:14" ht="44.1" customHeight="1">
      <c r="B35" s="10" t="s">
        <v>8</v>
      </c>
      <c r="C35" s="10" t="s">
        <v>85</v>
      </c>
      <c r="D35" s="10" t="s">
        <v>86</v>
      </c>
      <c r="E35" s="9" t="s">
        <v>69</v>
      </c>
      <c r="F35" s="9" t="s">
        <v>119</v>
      </c>
      <c r="G35" s="9"/>
      <c r="H35" s="9"/>
      <c r="I35" s="9"/>
      <c r="J35" s="9"/>
      <c r="K35" s="9"/>
      <c r="L35" s="9"/>
      <c r="M35" s="9"/>
      <c r="N35" s="9"/>
    </row>
    <row r="36" spans="2:14" ht="44.1" customHeight="1">
      <c r="B36" s="15" t="s">
        <v>43</v>
      </c>
      <c r="C36" s="15" t="s">
        <v>89</v>
      </c>
      <c r="D36" s="15" t="s">
        <v>86</v>
      </c>
      <c r="E36" s="14" t="s">
        <v>69</v>
      </c>
      <c r="F36" s="14" t="s">
        <v>119</v>
      </c>
      <c r="G36" s="14"/>
      <c r="H36" s="14"/>
      <c r="I36" s="14"/>
      <c r="J36" s="14"/>
      <c r="K36" s="14"/>
      <c r="L36" s="14"/>
      <c r="M36" s="14"/>
      <c r="N36" s="14"/>
    </row>
    <row r="37" spans="2:14" ht="44.1" customHeight="1">
      <c r="B37" s="10" t="s">
        <v>44</v>
      </c>
      <c r="C37" s="10" t="s">
        <v>90</v>
      </c>
      <c r="D37" s="10" t="s">
        <v>86</v>
      </c>
      <c r="E37" s="9" t="s">
        <v>69</v>
      </c>
      <c r="F37" s="9" t="s">
        <v>119</v>
      </c>
      <c r="G37" s="9"/>
      <c r="H37" s="9"/>
      <c r="I37" s="9"/>
      <c r="J37" s="9"/>
      <c r="K37" s="9"/>
      <c r="L37" s="9"/>
      <c r="M37" s="9"/>
      <c r="N37" s="9"/>
    </row>
    <row r="38" spans="2:14" ht="44.1" customHeight="1">
      <c r="B38" s="15" t="s">
        <v>45</v>
      </c>
      <c r="C38" s="15" t="s">
        <v>149</v>
      </c>
      <c r="D38" s="15" t="s">
        <v>86</v>
      </c>
      <c r="E38" s="14" t="s">
        <v>69</v>
      </c>
      <c r="F38" s="14" t="s">
        <v>119</v>
      </c>
      <c r="G38" s="14"/>
      <c r="H38" s="14"/>
      <c r="I38" s="14"/>
      <c r="J38" s="14"/>
      <c r="K38" s="14"/>
      <c r="L38" s="14"/>
      <c r="M38" s="14"/>
      <c r="N38" s="14"/>
    </row>
    <row r="39" spans="2:14" ht="44.1" customHeight="1">
      <c r="B39" s="10" t="s">
        <v>47</v>
      </c>
      <c r="C39" s="10" t="s">
        <v>92</v>
      </c>
      <c r="D39" s="10" t="s">
        <v>86</v>
      </c>
      <c r="E39" s="9" t="s">
        <v>69</v>
      </c>
      <c r="F39" s="9" t="s">
        <v>119</v>
      </c>
      <c r="G39" s="9"/>
      <c r="H39" s="9"/>
      <c r="I39" s="9"/>
      <c r="J39" s="9"/>
      <c r="K39" s="9"/>
      <c r="L39" s="9"/>
      <c r="M39" s="9"/>
      <c r="N39" s="9"/>
    </row>
    <row r="41" spans="2:14" ht="24.95" customHeight="1">
      <c r="B41" s="47" t="s">
        <v>93</v>
      </c>
      <c r="C41" s="47"/>
      <c r="D41" s="47"/>
      <c r="E41" s="47"/>
      <c r="F41" s="47"/>
      <c r="G41" s="47"/>
      <c r="H41" s="47"/>
      <c r="I41" s="47"/>
      <c r="J41" s="47"/>
      <c r="K41" s="47"/>
      <c r="L41" s="47"/>
      <c r="M41" s="47"/>
      <c r="N41" s="47"/>
    </row>
    <row r="42" spans="2:14" ht="42" customHeight="1">
      <c r="B42" s="6" t="s">
        <v>94</v>
      </c>
      <c r="C42" s="7" t="s">
        <v>95</v>
      </c>
      <c r="D42" s="7" t="s">
        <v>64</v>
      </c>
      <c r="E42" s="7" t="s">
        <v>69</v>
      </c>
      <c r="F42" s="7" t="s">
        <v>119</v>
      </c>
      <c r="G42" s="7" t="s">
        <v>96</v>
      </c>
      <c r="H42" s="7" t="s">
        <v>2</v>
      </c>
      <c r="I42" s="8" t="s">
        <v>97</v>
      </c>
    </row>
    <row r="43" spans="2:14" ht="24.95" customHeight="1">
      <c r="B43" s="47" t="s">
        <v>8</v>
      </c>
      <c r="C43" s="47"/>
      <c r="D43" s="47"/>
      <c r="E43" s="47"/>
      <c r="F43" s="47"/>
      <c r="G43" s="47"/>
      <c r="H43" s="47"/>
      <c r="I43" s="47"/>
      <c r="J43" s="47"/>
      <c r="K43" s="47"/>
      <c r="L43" s="47"/>
      <c r="M43" s="47"/>
      <c r="N43" s="47"/>
    </row>
    <row r="44" spans="2:14" ht="38.1" customHeight="1">
      <c r="B44" s="10" t="str">
        <f>Tarifas!B7</f>
        <v>Telemundo</v>
      </c>
      <c r="C44" s="10" t="str">
        <f>Tarifas!C7</f>
        <v>Dia a Dia</v>
      </c>
      <c r="D44" s="36">
        <f>Tarifas!E7</f>
        <v>782</v>
      </c>
      <c r="E44" s="37">
        <f>E23/$D$23</f>
        <v>1.9544677575546892</v>
      </c>
      <c r="F44" s="37">
        <f>F23/$D$23</f>
        <v>1.9544677575546892</v>
      </c>
      <c r="G44" s="37">
        <f t="shared" ref="G44:G49" si="1">SUM(E44:F44)</f>
        <v>3.9089355151093783</v>
      </c>
      <c r="H44" s="11">
        <f>ROUND(G44*D44,2)</f>
        <v>3056.79</v>
      </c>
      <c r="I44" s="13">
        <f t="shared" ref="I44:I49" si="2">H44/$C$20</f>
        <v>2.1834214285714287E-2</v>
      </c>
      <c r="J44" s="9"/>
      <c r="K44" s="9"/>
      <c r="L44" s="9"/>
      <c r="M44" s="9"/>
      <c r="N44" s="9"/>
    </row>
    <row r="45" spans="2:14" ht="38.1" customHeight="1">
      <c r="B45" s="15" t="str">
        <f>Tarifas!B8</f>
        <v>Telemundo</v>
      </c>
      <c r="C45" s="15" t="str">
        <f>Tarifas!C8</f>
        <v>PR Gana 6pm (M,W,T,f,Su)</v>
      </c>
      <c r="D45" s="38">
        <f>Tarifas!E8</f>
        <v>2541.5</v>
      </c>
      <c r="E45" s="39">
        <f>E23/$D$23</f>
        <v>1.9544677575546892</v>
      </c>
      <c r="F45" s="39">
        <f>F23/$D$23</f>
        <v>1.9544677575546892</v>
      </c>
      <c r="G45" s="39">
        <f t="shared" si="1"/>
        <v>3.9089355151093783</v>
      </c>
      <c r="H45" s="16">
        <f>ROUND(G45*D45,2)</f>
        <v>9934.56</v>
      </c>
      <c r="I45" s="18">
        <f t="shared" si="2"/>
        <v>7.0961142857142848E-2</v>
      </c>
      <c r="J45" s="14"/>
      <c r="K45" s="14"/>
      <c r="L45" s="14"/>
      <c r="M45" s="14"/>
      <c r="N45" s="14"/>
    </row>
    <row r="46" spans="2:14" ht="38.1" customHeight="1">
      <c r="B46" s="10" t="str">
        <f>Tarifas!B9</f>
        <v>WAPA</v>
      </c>
      <c r="C46" s="10" t="str">
        <f>Tarifas!C9</f>
        <v>Pegate al MedioDIa</v>
      </c>
      <c r="D46" s="36">
        <f>Tarifas!E9</f>
        <v>977.5</v>
      </c>
      <c r="E46" s="37">
        <f>E23/$D$23</f>
        <v>1.9544677575546892</v>
      </c>
      <c r="F46" s="37">
        <f>F23/$D$23</f>
        <v>1.9544677575546892</v>
      </c>
      <c r="G46" s="37">
        <f t="shared" si="1"/>
        <v>3.9089355151093783</v>
      </c>
      <c r="H46" s="11">
        <f>ROUND(G46*D46,2)</f>
        <v>3820.98</v>
      </c>
      <c r="I46" s="13">
        <f t="shared" si="2"/>
        <v>2.7292714285714285E-2</v>
      </c>
      <c r="J46" s="9"/>
      <c r="K46" s="9"/>
      <c r="L46" s="9"/>
      <c r="M46" s="9"/>
      <c r="N46" s="9"/>
    </row>
    <row r="47" spans="2:14" ht="38.1" customHeight="1">
      <c r="B47" s="15" t="str">
        <f>Tarifas!B10</f>
        <v>WAPA</v>
      </c>
      <c r="C47" s="15" t="str">
        <f>Tarifas!C10</f>
        <v>Reality-Funcion Estelar 7p</v>
      </c>
      <c r="D47" s="38">
        <f>Tarifas!E10</f>
        <v>3519</v>
      </c>
      <c r="E47" s="39">
        <f>E23/$D$23</f>
        <v>1.9544677575546892</v>
      </c>
      <c r="F47" s="39">
        <f>F23/$D$23</f>
        <v>1.9544677575546892</v>
      </c>
      <c r="G47" s="39">
        <f t="shared" si="1"/>
        <v>3.9089355151093783</v>
      </c>
      <c r="H47" s="16">
        <f>ROUND(G47*D47,2)</f>
        <v>13755.54</v>
      </c>
      <c r="I47" s="18">
        <f t="shared" si="2"/>
        <v>9.8253857142857143E-2</v>
      </c>
      <c r="J47" s="14"/>
      <c r="K47" s="14"/>
      <c r="L47" s="14"/>
      <c r="M47" s="14"/>
      <c r="N47" s="14"/>
    </row>
    <row r="48" spans="2:14" ht="38.1" customHeight="1">
      <c r="B48" s="10" t="str">
        <f>Tarifas!B11</f>
        <v>TeleOnce</v>
      </c>
      <c r="C48" s="10" t="str">
        <f>Tarifas!C11</f>
        <v>PR en Vivo</v>
      </c>
      <c r="D48" s="36">
        <f>Tarifas!E11</f>
        <v>586.5</v>
      </c>
      <c r="E48" s="37">
        <f>E23/$D$23</f>
        <v>1.9544677575546892</v>
      </c>
      <c r="F48" s="37">
        <f>F23/$D$23</f>
        <v>1.9544677575546892</v>
      </c>
      <c r="G48" s="37">
        <f t="shared" si="1"/>
        <v>3.9089355151093783</v>
      </c>
      <c r="H48" s="11">
        <f>ROUND(G48*D48,2)</f>
        <v>2292.59</v>
      </c>
      <c r="I48" s="13">
        <f t="shared" si="2"/>
        <v>1.6375642857142859E-2</v>
      </c>
      <c r="J48" s="9"/>
      <c r="K48" s="9"/>
      <c r="L48" s="9"/>
      <c r="M48" s="9"/>
      <c r="N48" s="9"/>
    </row>
    <row r="49" spans="2:14" ht="38.1" customHeight="1">
      <c r="B49" s="15" t="str">
        <f>Tarifas!B12</f>
        <v>TeleOnce</v>
      </c>
      <c r="C49" s="15" t="str">
        <f>Tarifas!C12</f>
        <v>Las Noticias Prime</v>
      </c>
      <c r="D49" s="38">
        <f>Tarifas!E12</f>
        <v>1661.75</v>
      </c>
      <c r="E49" s="39">
        <f>E23/$D$23</f>
        <v>1.9544677575546892</v>
      </c>
      <c r="F49" s="39">
        <f>F23/$D$23</f>
        <v>1.9544677575546892</v>
      </c>
      <c r="G49" s="39">
        <f t="shared" si="1"/>
        <v>3.9089355151093783</v>
      </c>
      <c r="H49" s="16">
        <f>ROUND(H23-SUM(H44:H48),2)</f>
        <v>6495.68</v>
      </c>
      <c r="I49" s="18">
        <f t="shared" si="2"/>
        <v>4.6397714285714285E-2</v>
      </c>
      <c r="J49" s="14"/>
      <c r="K49" s="14"/>
      <c r="L49" s="14"/>
      <c r="M49" s="14"/>
      <c r="N49" s="14"/>
    </row>
    <row r="50" spans="2:14" ht="30" customHeight="1">
      <c r="B50" s="19" t="s">
        <v>98</v>
      </c>
      <c r="C50" s="19"/>
      <c r="D50" s="19"/>
      <c r="E50" s="19"/>
      <c r="F50" s="19"/>
      <c r="G50" s="19"/>
      <c r="H50" s="20">
        <f>SUM(H44:H49)</f>
        <v>39356.14</v>
      </c>
      <c r="I50" s="19"/>
      <c r="J50" s="19"/>
      <c r="K50" s="19"/>
      <c r="L50" s="19"/>
      <c r="M50" s="19"/>
      <c r="N50" s="19"/>
    </row>
    <row r="51" spans="2:14" ht="24.95" customHeight="1">
      <c r="B51" s="47" t="s">
        <v>43</v>
      </c>
      <c r="C51" s="47"/>
      <c r="D51" s="47"/>
      <c r="E51" s="47"/>
      <c r="F51" s="47"/>
      <c r="G51" s="47"/>
      <c r="H51" s="47"/>
      <c r="I51" s="47"/>
      <c r="J51" s="47"/>
      <c r="K51" s="47"/>
      <c r="L51" s="47"/>
      <c r="M51" s="47"/>
      <c r="N51" s="47"/>
    </row>
    <row r="52" spans="2:14" ht="38.1" customHeight="1">
      <c r="B52" s="10" t="str">
        <f>Tarifas!B35</f>
        <v>Meta</v>
      </c>
      <c r="C52" s="10" t="str">
        <f>Tarifas!C35</f>
        <v>Video / Reels / Stories</v>
      </c>
      <c r="D52" s="36">
        <f>Tarifas!E35</f>
        <v>8.625</v>
      </c>
      <c r="E52" s="40">
        <f>ROUNDDOWN(E24/$D52*1000,0)</f>
        <v>2602692</v>
      </c>
      <c r="F52" s="40">
        <f>ROUNDDOWN(F24/$D52*1000,0)</f>
        <v>2602692</v>
      </c>
      <c r="G52" s="40">
        <f>SUM(E52:F52)</f>
        <v>5205384</v>
      </c>
      <c r="H52" s="11">
        <f>H24</f>
        <v>44896.44</v>
      </c>
      <c r="I52" s="13">
        <f>H52/$C$20</f>
        <v>0.32068885714285716</v>
      </c>
      <c r="J52" s="9"/>
      <c r="K52" s="9"/>
      <c r="L52" s="9"/>
      <c r="M52" s="9"/>
      <c r="N52" s="9"/>
    </row>
    <row r="53" spans="2:14" ht="30" customHeight="1">
      <c r="B53" s="19" t="s">
        <v>102</v>
      </c>
      <c r="C53" s="19"/>
      <c r="D53" s="19"/>
      <c r="E53" s="19"/>
      <c r="F53" s="19"/>
      <c r="G53" s="19"/>
      <c r="H53" s="20">
        <f>SUM(H52:H52)</f>
        <v>44896.44</v>
      </c>
      <c r="I53" s="19"/>
      <c r="J53" s="19"/>
      <c r="K53" s="19"/>
      <c r="L53" s="19"/>
      <c r="M53" s="19"/>
      <c r="N53" s="19"/>
    </row>
    <row r="54" spans="2:14" ht="24.95" customHeight="1">
      <c r="B54" s="47" t="s">
        <v>44</v>
      </c>
      <c r="C54" s="47"/>
      <c r="D54" s="47"/>
      <c r="E54" s="47"/>
      <c r="F54" s="47"/>
      <c r="G54" s="47"/>
      <c r="H54" s="47"/>
      <c r="I54" s="47"/>
      <c r="J54" s="47"/>
      <c r="K54" s="47"/>
      <c r="L54" s="47"/>
      <c r="M54" s="47"/>
      <c r="N54" s="47"/>
    </row>
    <row r="55" spans="2:14" ht="38.1" customHeight="1">
      <c r="B55" s="10" t="str">
        <f>Tarifas!B36</f>
        <v>YouTube</v>
      </c>
      <c r="C55" s="10" t="str">
        <f>Tarifas!C36</f>
        <v>Video 15–30 s</v>
      </c>
      <c r="D55" s="36">
        <f>Tarifas!E36</f>
        <v>6.9</v>
      </c>
      <c r="E55" s="40">
        <f>ROUNDDOWN(E25/$D55*1000,0)</f>
        <v>2028985</v>
      </c>
      <c r="F55" s="40">
        <f>ROUNDDOWN(F25/$D55*1000,0)</f>
        <v>2028985</v>
      </c>
      <c r="G55" s="40">
        <f>SUM(E55:F55)</f>
        <v>4057970</v>
      </c>
      <c r="H55" s="11">
        <f>H25</f>
        <v>28000</v>
      </c>
      <c r="I55" s="13">
        <f>H55/$C$20</f>
        <v>0.2</v>
      </c>
      <c r="J55" s="9"/>
      <c r="K55" s="9"/>
      <c r="L55" s="9"/>
      <c r="M55" s="9"/>
      <c r="N55" s="9"/>
    </row>
    <row r="56" spans="2:14" ht="30" customHeight="1">
      <c r="B56" s="19" t="s">
        <v>103</v>
      </c>
      <c r="C56" s="19"/>
      <c r="D56" s="19"/>
      <c r="E56" s="19"/>
      <c r="F56" s="19"/>
      <c r="G56" s="19"/>
      <c r="H56" s="20">
        <f>SUM(H55:H55)</f>
        <v>28000</v>
      </c>
      <c r="I56" s="19"/>
      <c r="J56" s="19"/>
      <c r="K56" s="19"/>
      <c r="L56" s="19"/>
      <c r="M56" s="19"/>
      <c r="N56" s="19"/>
    </row>
    <row r="57" spans="2:14" ht="24.95" customHeight="1">
      <c r="B57" s="47" t="s">
        <v>45</v>
      </c>
      <c r="C57" s="47"/>
      <c r="D57" s="47"/>
      <c r="E57" s="47"/>
      <c r="F57" s="47"/>
      <c r="G57" s="47"/>
      <c r="H57" s="47"/>
      <c r="I57" s="47"/>
      <c r="J57" s="47"/>
      <c r="K57" s="47"/>
      <c r="L57" s="47"/>
      <c r="M57" s="47"/>
      <c r="N57" s="47"/>
    </row>
    <row r="58" spans="2:14" ht="38.1" customHeight="1">
      <c r="B58" s="10" t="str">
        <f>Tarifas!B37</f>
        <v>Programática</v>
      </c>
      <c r="C58" s="10" t="str">
        <f>Tarifas!C37</f>
        <v>Display premium local</v>
      </c>
      <c r="D58" s="36">
        <f>Tarifas!E37</f>
        <v>9.1999999999999993</v>
      </c>
      <c r="E58" s="40">
        <f>ROUNDDOWN(E26/$D58*1000,0)</f>
        <v>380434</v>
      </c>
      <c r="F58" s="40">
        <f>ROUNDDOWN(F26/$D58*1000,0)</f>
        <v>380434</v>
      </c>
      <c r="G58" s="40">
        <f>SUM(E58:F58)</f>
        <v>760868</v>
      </c>
      <c r="H58" s="11">
        <f>H26</f>
        <v>7000</v>
      </c>
      <c r="I58" s="13">
        <f>H58/$C$20</f>
        <v>0.05</v>
      </c>
      <c r="J58" s="9"/>
      <c r="K58" s="9"/>
      <c r="L58" s="9"/>
      <c r="M58" s="9"/>
      <c r="N58" s="9"/>
    </row>
    <row r="59" spans="2:14" ht="30" customHeight="1">
      <c r="B59" s="19" t="s">
        <v>150</v>
      </c>
      <c r="C59" s="19"/>
      <c r="D59" s="19"/>
      <c r="E59" s="19"/>
      <c r="F59" s="19"/>
      <c r="G59" s="19"/>
      <c r="H59" s="20">
        <f>SUM(H58:H58)</f>
        <v>7000</v>
      </c>
      <c r="I59" s="19"/>
      <c r="J59" s="19"/>
      <c r="K59" s="19"/>
      <c r="L59" s="19"/>
      <c r="M59" s="19"/>
      <c r="N59" s="19"/>
    </row>
    <row r="60" spans="2:14" ht="24.95" customHeight="1">
      <c r="B60" s="47" t="s">
        <v>47</v>
      </c>
      <c r="C60" s="47"/>
      <c r="D60" s="47"/>
      <c r="E60" s="47"/>
      <c r="F60" s="47"/>
      <c r="G60" s="47"/>
      <c r="H60" s="47"/>
      <c r="I60" s="47"/>
      <c r="J60" s="47"/>
      <c r="K60" s="47"/>
      <c r="L60" s="47"/>
      <c r="M60" s="47"/>
      <c r="N60" s="47"/>
    </row>
    <row r="61" spans="2:14" ht="38.1" customHeight="1">
      <c r="B61" s="10" t="str">
        <f>Tarifas!B39</f>
        <v>Creadores e integraciones</v>
      </c>
      <c r="C61" s="10" t="str">
        <f>Tarifas!C39</f>
        <v>1 video + 2 Stories</v>
      </c>
      <c r="D61" s="36">
        <f>Tarifas!E39</f>
        <v>2875</v>
      </c>
      <c r="E61" s="37">
        <f>E27/$D$27</f>
        <v>3.608246956521739</v>
      </c>
      <c r="F61" s="37">
        <f>F27/$D$27</f>
        <v>3.608246956521739</v>
      </c>
      <c r="G61" s="37">
        <f>SUM(E61:F61)</f>
        <v>7.216493913043478</v>
      </c>
      <c r="H61" s="11">
        <f>H27</f>
        <v>20747.419999999998</v>
      </c>
      <c r="I61" s="13">
        <f>H61/$C$20</f>
        <v>0.14819585714285713</v>
      </c>
      <c r="J61" s="9"/>
      <c r="K61" s="9"/>
      <c r="L61" s="9"/>
      <c r="M61" s="9"/>
      <c r="N61" s="9"/>
    </row>
    <row r="62" spans="2:14" ht="30" customHeight="1">
      <c r="B62" s="19" t="s">
        <v>105</v>
      </c>
      <c r="C62" s="19"/>
      <c r="D62" s="19"/>
      <c r="E62" s="19"/>
      <c r="F62" s="19"/>
      <c r="G62" s="19"/>
      <c r="H62" s="20">
        <f>SUM(H61:H61)</f>
        <v>20747.419999999998</v>
      </c>
      <c r="I62" s="19"/>
      <c r="J62" s="19"/>
      <c r="K62" s="19"/>
      <c r="L62" s="19"/>
      <c r="M62" s="19"/>
      <c r="N62" s="19"/>
    </row>
    <row r="63" spans="2:14" ht="27.95" customHeight="1">
      <c r="B63" s="45" t="s">
        <v>106</v>
      </c>
      <c r="C63" s="45"/>
      <c r="D63" s="45"/>
      <c r="E63" s="45"/>
      <c r="F63" s="45"/>
      <c r="G63" s="45"/>
      <c r="H63" s="45"/>
      <c r="I63" s="45"/>
      <c r="J63" s="45"/>
      <c r="K63" s="45"/>
      <c r="L63" s="45"/>
      <c r="M63" s="45"/>
      <c r="N63" s="45"/>
    </row>
    <row r="65" spans="2:14" ht="24.95" customHeight="1">
      <c r="B65" s="47" t="s">
        <v>136</v>
      </c>
      <c r="C65" s="47"/>
      <c r="D65" s="47"/>
      <c r="E65" s="47"/>
      <c r="F65" s="47"/>
      <c r="G65" s="47"/>
      <c r="H65" s="47"/>
      <c r="I65" s="47"/>
      <c r="J65" s="47"/>
      <c r="K65" s="47"/>
      <c r="L65" s="47"/>
      <c r="M65" s="47"/>
      <c r="N65" s="47"/>
    </row>
    <row r="66" spans="2:14" ht="42" customHeight="1">
      <c r="B66" s="6" t="s">
        <v>38</v>
      </c>
      <c r="C66" s="7" t="s">
        <v>137</v>
      </c>
      <c r="D66" s="7" t="s">
        <v>138</v>
      </c>
      <c r="E66" s="7" t="s">
        <v>139</v>
      </c>
      <c r="F66" s="50" t="s">
        <v>140</v>
      </c>
      <c r="G66" s="51"/>
      <c r="H66" s="51"/>
      <c r="I66" s="51"/>
      <c r="J66" s="51"/>
      <c r="K66" s="51"/>
      <c r="L66" s="51"/>
      <c r="M66" s="51"/>
      <c r="N66" s="51"/>
    </row>
    <row r="67" spans="2:14" ht="60" customHeight="1">
      <c r="B67" s="10" t="s">
        <v>8</v>
      </c>
      <c r="C67" s="10" t="s">
        <v>141</v>
      </c>
      <c r="D67" s="10" t="s">
        <v>141</v>
      </c>
      <c r="E67" s="43" t="s">
        <v>141</v>
      </c>
      <c r="F67" s="48" t="s">
        <v>142</v>
      </c>
      <c r="G67" s="48"/>
      <c r="H67" s="48"/>
      <c r="I67" s="48"/>
      <c r="J67" s="48"/>
      <c r="K67" s="48"/>
      <c r="L67" s="48"/>
      <c r="M67" s="48"/>
      <c r="N67" s="48"/>
    </row>
    <row r="68" spans="2:14" ht="60" customHeight="1">
      <c r="B68" s="15" t="s">
        <v>43</v>
      </c>
      <c r="C68" s="15" t="s">
        <v>141</v>
      </c>
      <c r="D68" s="15" t="s">
        <v>141</v>
      </c>
      <c r="E68" s="44">
        <f>G24</f>
        <v>5205384</v>
      </c>
      <c r="F68" s="49" t="s">
        <v>144</v>
      </c>
      <c r="G68" s="49"/>
      <c r="H68" s="49"/>
      <c r="I68" s="49"/>
      <c r="J68" s="49"/>
      <c r="K68" s="49"/>
      <c r="L68" s="49"/>
      <c r="M68" s="49"/>
      <c r="N68" s="49"/>
    </row>
    <row r="69" spans="2:14" ht="60" customHeight="1">
      <c r="B69" s="10" t="s">
        <v>44</v>
      </c>
      <c r="C69" s="10" t="s">
        <v>141</v>
      </c>
      <c r="D69" s="10" t="s">
        <v>141</v>
      </c>
      <c r="E69" s="43">
        <f>G25</f>
        <v>4057970</v>
      </c>
      <c r="F69" s="48" t="s">
        <v>144</v>
      </c>
      <c r="G69" s="48"/>
      <c r="H69" s="48"/>
      <c r="I69" s="48"/>
      <c r="J69" s="48"/>
      <c r="K69" s="48"/>
      <c r="L69" s="48"/>
      <c r="M69" s="48"/>
      <c r="N69" s="48"/>
    </row>
    <row r="70" spans="2:14" ht="60" customHeight="1">
      <c r="B70" s="15" t="s">
        <v>45</v>
      </c>
      <c r="C70" s="15" t="s">
        <v>141</v>
      </c>
      <c r="D70" s="15" t="s">
        <v>141</v>
      </c>
      <c r="E70" s="44">
        <f>G26</f>
        <v>760868</v>
      </c>
      <c r="F70" s="49" t="s">
        <v>144</v>
      </c>
      <c r="G70" s="49"/>
      <c r="H70" s="49"/>
      <c r="I70" s="49"/>
      <c r="J70" s="49"/>
      <c r="K70" s="49"/>
      <c r="L70" s="49"/>
      <c r="M70" s="49"/>
      <c r="N70" s="49"/>
    </row>
    <row r="71" spans="2:14" ht="60" customHeight="1">
      <c r="B71" s="10" t="s">
        <v>47</v>
      </c>
      <c r="C71" s="10" t="s">
        <v>141</v>
      </c>
      <c r="D71" s="10" t="s">
        <v>141</v>
      </c>
      <c r="E71" s="43" t="s">
        <v>141</v>
      </c>
      <c r="F71" s="48" t="s">
        <v>151</v>
      </c>
      <c r="G71" s="48"/>
      <c r="H71" s="48"/>
      <c r="I71" s="48"/>
      <c r="J71" s="48"/>
      <c r="K71" s="48"/>
      <c r="L71" s="48"/>
      <c r="M71" s="48"/>
      <c r="N71" s="48"/>
    </row>
  </sheetData>
  <mergeCells count="24">
    <mergeCell ref="B2:O2"/>
    <mergeCell ref="B4:O4"/>
    <mergeCell ref="B8:O8"/>
    <mergeCell ref="B16:N16"/>
    <mergeCell ref="B17:N17"/>
    <mergeCell ref="B18:N18"/>
    <mergeCell ref="B19:N19"/>
    <mergeCell ref="B30:N30"/>
    <mergeCell ref="B31:N31"/>
    <mergeCell ref="B33:N33"/>
    <mergeCell ref="B41:N41"/>
    <mergeCell ref="B43:N43"/>
    <mergeCell ref="B51:N51"/>
    <mergeCell ref="B54:N54"/>
    <mergeCell ref="B57:N57"/>
    <mergeCell ref="F68:N68"/>
    <mergeCell ref="F69:N69"/>
    <mergeCell ref="F70:N70"/>
    <mergeCell ref="F71:N71"/>
    <mergeCell ref="B60:N60"/>
    <mergeCell ref="B63:N63"/>
    <mergeCell ref="B65:N65"/>
    <mergeCell ref="F66:N66"/>
    <mergeCell ref="F67:N67"/>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192667"/>
  </sheetPr>
  <dimension ref="A1:O87"/>
  <sheetViews>
    <sheetView showGridLines="0" workbookViewId="0">
      <pane xSplit="2" ySplit="10" topLeftCell="G11" activePane="bottomRight" state="frozen"/>
      <selection pane="bottomRight" activeCell="B24" sqref="B24:N24"/>
      <selection pane="bottomLeft" activeCell="B24" sqref="B24:N24"/>
      <selection pane="topRight" activeCell="B24" sqref="B24:N24"/>
    </sheetView>
  </sheetViews>
  <sheetFormatPr defaultColWidth="8.875" defaultRowHeight="15"/>
  <cols>
    <col min="1" max="1" width="3" style="2" customWidth="1"/>
    <col min="2" max="2" width="32" style="2" customWidth="1"/>
    <col min="3" max="3" width="28" style="2" customWidth="1"/>
    <col min="4" max="4" width="19" style="2" customWidth="1"/>
    <col min="5" max="15" width="16" style="2" customWidth="1"/>
    <col min="16" max="16384" width="8.875" style="2"/>
  </cols>
  <sheetData>
    <row r="1" spans="1:15">
      <c r="A1" s="1"/>
      <c r="B1" s="1"/>
      <c r="C1" s="1"/>
      <c r="D1" s="1"/>
      <c r="E1" s="1"/>
      <c r="F1" s="1"/>
      <c r="G1" s="1"/>
      <c r="H1" s="1"/>
      <c r="I1" s="1"/>
      <c r="J1" s="1"/>
      <c r="K1" s="1"/>
      <c r="L1" s="1"/>
      <c r="M1" s="1"/>
      <c r="N1" s="1"/>
      <c r="O1" s="1"/>
    </row>
    <row r="2" spans="1:15" ht="32.1" customHeight="1">
      <c r="A2" s="1"/>
      <c r="B2" s="46" t="s">
        <v>204</v>
      </c>
      <c r="C2" s="46"/>
      <c r="D2" s="46"/>
      <c r="E2" s="46"/>
      <c r="F2" s="46"/>
      <c r="G2" s="46"/>
      <c r="H2" s="46"/>
      <c r="I2" s="46"/>
      <c r="J2" s="46"/>
      <c r="K2" s="46"/>
      <c r="L2" s="46"/>
      <c r="M2" s="46"/>
      <c r="N2" s="46"/>
      <c r="O2" s="46"/>
    </row>
    <row r="3" spans="1:15" ht="3.95" customHeight="1">
      <c r="A3" s="1"/>
      <c r="B3" s="3"/>
      <c r="C3" s="3"/>
      <c r="D3" s="3"/>
      <c r="E3" s="3"/>
      <c r="F3" s="3"/>
      <c r="G3" s="3"/>
      <c r="H3" s="3"/>
      <c r="I3" s="3"/>
      <c r="J3" s="3"/>
      <c r="K3" s="3"/>
      <c r="L3" s="3"/>
      <c r="M3" s="3"/>
      <c r="N3" s="3"/>
      <c r="O3" s="3"/>
    </row>
    <row r="4" spans="1:15" ht="30" customHeight="1">
      <c r="A4" s="1"/>
      <c r="B4" s="45" t="s">
        <v>1</v>
      </c>
      <c r="C4" s="45"/>
      <c r="D4" s="45"/>
      <c r="E4" s="45"/>
      <c r="F4" s="45"/>
      <c r="G4" s="45"/>
      <c r="H4" s="45"/>
      <c r="I4" s="45"/>
      <c r="J4" s="45"/>
      <c r="K4" s="45"/>
      <c r="L4" s="45"/>
      <c r="M4" s="45"/>
      <c r="N4" s="45"/>
      <c r="O4" s="45"/>
    </row>
    <row r="5" spans="1:15">
      <c r="A5" s="1"/>
      <c r="B5" s="1"/>
      <c r="C5" s="1"/>
      <c r="D5" s="1"/>
      <c r="E5" s="1"/>
      <c r="F5" s="1"/>
      <c r="G5" s="1"/>
      <c r="H5" s="1"/>
      <c r="I5" s="1"/>
      <c r="J5" s="1"/>
      <c r="K5" s="1"/>
      <c r="L5" s="1"/>
      <c r="M5" s="1"/>
      <c r="N5" s="1"/>
      <c r="O5" s="1"/>
    </row>
    <row r="6" spans="1:15" ht="21">
      <c r="A6" s="1"/>
      <c r="B6" s="1" t="s">
        <v>50</v>
      </c>
      <c r="C6" s="32">
        <f>'AGA y criterios'!D17</f>
        <v>125000</v>
      </c>
      <c r="D6" s="1"/>
      <c r="E6" s="1" t="s">
        <v>6</v>
      </c>
      <c r="F6" s="33">
        <f>L12</f>
        <v>125000</v>
      </c>
      <c r="G6" s="1"/>
      <c r="H6" s="1" t="s">
        <v>3</v>
      </c>
      <c r="I6" s="5">
        <f>ROUND(C6-F6,2)</f>
        <v>0</v>
      </c>
      <c r="J6" s="1"/>
      <c r="K6" s="1" t="s">
        <v>51</v>
      </c>
      <c r="L6" s="1"/>
      <c r="M6" s="33">
        <f>'AGA y criterios'!E17</f>
        <v>0</v>
      </c>
      <c r="N6" s="1"/>
      <c r="O6" s="1"/>
    </row>
    <row r="7" spans="1:15">
      <c r="A7" s="1"/>
      <c r="B7" s="1"/>
      <c r="C7" s="1"/>
      <c r="D7" s="1"/>
      <c r="E7" s="1"/>
      <c r="F7" s="1"/>
      <c r="G7" s="1"/>
      <c r="H7" s="1"/>
      <c r="I7" s="1"/>
      <c r="J7" s="1"/>
      <c r="K7" s="1"/>
      <c r="L7" s="1"/>
      <c r="M7" s="1"/>
      <c r="N7" s="1"/>
      <c r="O7" s="1"/>
    </row>
    <row r="8" spans="1:15" ht="30" customHeight="1">
      <c r="A8" s="1"/>
      <c r="B8" s="45" t="s">
        <v>52</v>
      </c>
      <c r="C8" s="45"/>
      <c r="D8" s="45"/>
      <c r="E8" s="45"/>
      <c r="F8" s="45"/>
      <c r="G8" s="45"/>
      <c r="H8" s="45"/>
      <c r="I8" s="45"/>
      <c r="J8" s="45"/>
      <c r="K8" s="45"/>
      <c r="L8" s="45"/>
      <c r="M8" s="45"/>
      <c r="N8" s="45"/>
      <c r="O8" s="45"/>
    </row>
    <row r="10" spans="1:15" ht="42" customHeight="1">
      <c r="B10" s="6" t="s">
        <v>53</v>
      </c>
      <c r="C10" s="7" t="s">
        <v>54</v>
      </c>
      <c r="D10" s="7" t="s">
        <v>8</v>
      </c>
      <c r="E10" s="7" t="s">
        <v>9</v>
      </c>
      <c r="F10" s="7" t="s">
        <v>10</v>
      </c>
      <c r="G10" s="7" t="s">
        <v>43</v>
      </c>
      <c r="H10" s="7" t="s">
        <v>44</v>
      </c>
      <c r="I10" s="7" t="s">
        <v>45</v>
      </c>
      <c r="J10" s="7" t="s">
        <v>46</v>
      </c>
      <c r="K10" s="7" t="s">
        <v>12</v>
      </c>
      <c r="L10" s="7" t="s">
        <v>55</v>
      </c>
      <c r="M10" s="7" t="s">
        <v>3</v>
      </c>
      <c r="N10" s="8" t="s">
        <v>56</v>
      </c>
    </row>
    <row r="11" spans="1:15" ht="30.95" customHeight="1">
      <c r="B11" s="10" t="s">
        <v>31</v>
      </c>
      <c r="C11" s="11">
        <f>'AGA y criterios'!D41</f>
        <v>125000</v>
      </c>
      <c r="D11" s="11">
        <f>H23</f>
        <v>27030.3</v>
      </c>
      <c r="E11" s="11">
        <f>H24</f>
        <v>8928.7999999999993</v>
      </c>
      <c r="F11" s="11">
        <v>0</v>
      </c>
      <c r="G11" s="11">
        <f>H25</f>
        <v>39040.879999999997</v>
      </c>
      <c r="H11" s="11">
        <f>H26</f>
        <v>31250</v>
      </c>
      <c r="I11" s="11">
        <v>0</v>
      </c>
      <c r="J11" s="11">
        <f>H27</f>
        <v>18750.02</v>
      </c>
      <c r="K11" s="11">
        <v>0</v>
      </c>
      <c r="L11" s="11">
        <f>H28</f>
        <v>125000</v>
      </c>
      <c r="M11" s="11">
        <f>ROUND(C11-L11,2)</f>
        <v>0</v>
      </c>
      <c r="N11" s="13">
        <f>L11/$C$6</f>
        <v>1</v>
      </c>
    </row>
    <row r="12" spans="1:15" ht="30" customHeight="1">
      <c r="B12" s="34" t="s">
        <v>57</v>
      </c>
      <c r="C12" s="20">
        <f t="shared" ref="C12:N12" si="0">SUM(C11:C11)</f>
        <v>125000</v>
      </c>
      <c r="D12" s="20">
        <f t="shared" si="0"/>
        <v>27030.3</v>
      </c>
      <c r="E12" s="20">
        <f t="shared" si="0"/>
        <v>8928.7999999999993</v>
      </c>
      <c r="F12" s="20">
        <f t="shared" si="0"/>
        <v>0</v>
      </c>
      <c r="G12" s="20">
        <f t="shared" si="0"/>
        <v>39040.879999999997</v>
      </c>
      <c r="H12" s="20">
        <f t="shared" si="0"/>
        <v>31250</v>
      </c>
      <c r="I12" s="20">
        <f t="shared" si="0"/>
        <v>0</v>
      </c>
      <c r="J12" s="20">
        <f t="shared" si="0"/>
        <v>18750.02</v>
      </c>
      <c r="K12" s="20">
        <f t="shared" si="0"/>
        <v>0</v>
      </c>
      <c r="L12" s="20">
        <f t="shared" si="0"/>
        <v>125000</v>
      </c>
      <c r="M12" s="20">
        <f t="shared" si="0"/>
        <v>0</v>
      </c>
      <c r="N12" s="22">
        <f t="shared" si="0"/>
        <v>1</v>
      </c>
    </row>
    <row r="16" spans="1:15" ht="24.95" customHeight="1">
      <c r="B16" s="47" t="s">
        <v>204</v>
      </c>
      <c r="C16" s="47"/>
      <c r="D16" s="47"/>
      <c r="E16" s="47"/>
      <c r="F16" s="47"/>
      <c r="G16" s="47"/>
      <c r="H16" s="47"/>
      <c r="I16" s="47"/>
      <c r="J16" s="47"/>
      <c r="K16" s="47"/>
      <c r="L16" s="47"/>
      <c r="M16" s="47"/>
      <c r="N16" s="47"/>
    </row>
    <row r="17" spans="2:14" ht="32.1" customHeight="1">
      <c r="B17" s="45" t="s">
        <v>205</v>
      </c>
      <c r="C17" s="45"/>
      <c r="D17" s="45"/>
      <c r="E17" s="45"/>
      <c r="F17" s="45"/>
      <c r="G17" s="45"/>
      <c r="H17" s="45"/>
      <c r="I17" s="45"/>
      <c r="J17" s="45"/>
      <c r="K17" s="45"/>
      <c r="L17" s="45"/>
      <c r="M17" s="45"/>
      <c r="N17" s="45"/>
    </row>
    <row r="18" spans="2:14" ht="32.1" customHeight="1">
      <c r="B18" s="45" t="s">
        <v>206</v>
      </c>
      <c r="C18" s="45"/>
      <c r="D18" s="45"/>
      <c r="E18" s="45"/>
      <c r="F18" s="45"/>
      <c r="G18" s="45"/>
      <c r="H18" s="45"/>
      <c r="I18" s="45"/>
      <c r="J18" s="45"/>
      <c r="K18" s="45"/>
      <c r="L18" s="45"/>
      <c r="M18" s="45"/>
      <c r="N18" s="45"/>
    </row>
    <row r="19" spans="2:14" ht="33.950000000000003" customHeight="1">
      <c r="B19" s="45" t="s">
        <v>207</v>
      </c>
      <c r="C19" s="45"/>
      <c r="D19" s="45"/>
      <c r="E19" s="45"/>
      <c r="F19" s="45"/>
      <c r="G19" s="45"/>
      <c r="H19" s="45"/>
      <c r="I19" s="45"/>
      <c r="J19" s="45"/>
      <c r="K19" s="45"/>
      <c r="L19" s="45"/>
      <c r="M19" s="45"/>
      <c r="N19" s="45"/>
    </row>
    <row r="20" spans="2:14">
      <c r="B20" s="2" t="s">
        <v>61</v>
      </c>
      <c r="C20" s="35">
        <f>'AGA y criterios'!D41</f>
        <v>125000</v>
      </c>
    </row>
    <row r="22" spans="2:14" ht="42" customHeight="1">
      <c r="B22" s="6" t="s">
        <v>34</v>
      </c>
      <c r="C22" s="7" t="s">
        <v>63</v>
      </c>
      <c r="D22" s="7" t="s">
        <v>64</v>
      </c>
      <c r="E22" s="7" t="s">
        <v>196</v>
      </c>
      <c r="F22" s="7" t="s">
        <v>119</v>
      </c>
      <c r="G22" s="7" t="s">
        <v>72</v>
      </c>
      <c r="H22" s="7" t="s">
        <v>2</v>
      </c>
      <c r="I22" s="8" t="s">
        <v>13</v>
      </c>
    </row>
    <row r="23" spans="2:14" ht="30.95" customHeight="1">
      <c r="B23" s="10" t="s">
        <v>8</v>
      </c>
      <c r="C23" s="10" t="s">
        <v>73</v>
      </c>
      <c r="D23" s="36">
        <f>SUM(Tarifas!E7:E12)</f>
        <v>10068.25</v>
      </c>
      <c r="E23" s="11">
        <f>ROUND($C$20*('Base de distribución'!E139/SUM('Base de distribución'!E139,'Base de distribución'!E140,'Base de distribución'!E141,'Base de distribución'!E142,'Base de distribución'!E143,'Base de distribución'!E144,'Base de distribución'!E145,'Base de distribución'!E146,'Base de distribución'!E147,'Base de distribución'!E148)),2)</f>
        <v>13515.15</v>
      </c>
      <c r="F23" s="11">
        <f>ROUND($C$20*('Base de distribución'!E140/SUM('Base de distribución'!E139,'Base de distribución'!E140,'Base de distribución'!E141,'Base de distribución'!E142,'Base de distribución'!E143,'Base de distribución'!E144,'Base de distribución'!E145,'Base de distribución'!E146,'Base de distribución'!E147,'Base de distribución'!E148)),2)</f>
        <v>13515.15</v>
      </c>
      <c r="G23" s="37">
        <f>SUM(G44:G49)</f>
        <v>16.108241253445236</v>
      </c>
      <c r="H23" s="11">
        <f>SUM(E23:F23)</f>
        <v>27030.3</v>
      </c>
      <c r="I23" s="13">
        <f>H23/$C$20</f>
        <v>0.2162424</v>
      </c>
      <c r="J23" s="9"/>
      <c r="K23" s="9"/>
      <c r="L23" s="9"/>
      <c r="M23" s="9"/>
      <c r="N23" s="9"/>
    </row>
    <row r="24" spans="2:14" ht="30.95" customHeight="1">
      <c r="B24" s="15" t="s">
        <v>41</v>
      </c>
      <c r="C24" s="15" t="s">
        <v>74</v>
      </c>
      <c r="D24" s="38">
        <f>SUM(Tarifas!E13:E30)</f>
        <v>665.16</v>
      </c>
      <c r="E24" s="16">
        <f>ROUND($C$20*('Base de distribución'!E141/SUM('Base de distribución'!E139,'Base de distribución'!E140,'Base de distribución'!E141,'Base de distribución'!E142,'Base de distribución'!E143,'Base de distribución'!E144,'Base de distribución'!E145,'Base de distribución'!E146,'Base de distribución'!E147,'Base de distribución'!E148)),2)</f>
        <v>4464.3999999999996</v>
      </c>
      <c r="F24" s="16">
        <f>ROUND($C$20*('Base de distribución'!E142/SUM('Base de distribución'!E139,'Base de distribución'!E140,'Base de distribución'!E141,'Base de distribución'!E142,'Base de distribución'!E143,'Base de distribución'!E144,'Base de distribución'!E145,'Base de distribución'!E146,'Base de distribución'!E147,'Base de distribución'!E148)),2)</f>
        <v>4464.3999999999996</v>
      </c>
      <c r="G24" s="39">
        <f>SUM(G52:G69)</f>
        <v>241.62366949305436</v>
      </c>
      <c r="H24" s="16">
        <f>SUM(E24:F24)</f>
        <v>8928.7999999999993</v>
      </c>
      <c r="I24" s="18">
        <f>H24/$C$20</f>
        <v>7.1430399999999991E-2</v>
      </c>
      <c r="J24" s="14"/>
      <c r="K24" s="14"/>
      <c r="L24" s="14"/>
      <c r="M24" s="14"/>
      <c r="N24" s="14"/>
    </row>
    <row r="25" spans="2:14" ht="30.95" customHeight="1">
      <c r="B25" s="10" t="s">
        <v>37</v>
      </c>
      <c r="C25" s="10" t="s">
        <v>75</v>
      </c>
      <c r="D25" s="36">
        <f>Tarifas!E35</f>
        <v>8.625</v>
      </c>
      <c r="E25" s="11">
        <f>ROUND($C$20*('Base de distribución'!E143/SUM('Base de distribución'!E139,'Base de distribución'!E140,'Base de distribución'!E141,'Base de distribución'!E142,'Base de distribución'!E143,'Base de distribución'!E144,'Base de distribución'!E145,'Base de distribución'!E146,'Base de distribución'!E147,'Base de distribución'!E148)),2)</f>
        <v>19520.439999999999</v>
      </c>
      <c r="F25" s="11">
        <f>ROUND($C$20*('Base de distribución'!E144/SUM('Base de distribución'!E139,'Base de distribución'!E140,'Base de distribución'!E141,'Base de distribución'!E142,'Base de distribución'!E143,'Base de distribución'!E144,'Base de distribución'!E145,'Base de distribución'!E146,'Base de distribución'!E147,'Base de distribución'!E148)),2)</f>
        <v>19520.439999999999</v>
      </c>
      <c r="G25" s="40">
        <f>SUM(G72:G72)</f>
        <v>4526478</v>
      </c>
      <c r="H25" s="11">
        <f>SUM(E25:F25)</f>
        <v>39040.879999999997</v>
      </c>
      <c r="I25" s="13">
        <f>H25/$C$20</f>
        <v>0.31232704</v>
      </c>
      <c r="J25" s="9"/>
      <c r="K25" s="9"/>
      <c r="L25" s="9"/>
      <c r="M25" s="9"/>
      <c r="N25" s="9"/>
    </row>
    <row r="26" spans="2:14" ht="30.95" customHeight="1">
      <c r="B26" s="15" t="s">
        <v>44</v>
      </c>
      <c r="C26" s="15" t="s">
        <v>75</v>
      </c>
      <c r="D26" s="38">
        <f>Tarifas!E36</f>
        <v>6.9</v>
      </c>
      <c r="E26" s="16">
        <f>ROUND($C$20*('Base de distribución'!E145/SUM('Base de distribución'!E139,'Base de distribución'!E140,'Base de distribución'!E141,'Base de distribución'!E142,'Base de distribución'!E143,'Base de distribución'!E144,'Base de distribución'!E145,'Base de distribución'!E146,'Base de distribución'!E147,'Base de distribución'!E148)),2)</f>
        <v>15625</v>
      </c>
      <c r="F26" s="16">
        <f>ROUND($C$20*('Base de distribución'!E146/SUM('Base de distribución'!E139,'Base de distribución'!E140,'Base de distribución'!E141,'Base de distribución'!E142,'Base de distribución'!E143,'Base de distribución'!E144,'Base de distribución'!E145,'Base de distribución'!E146,'Base de distribución'!E147,'Base de distribución'!E148)),2)</f>
        <v>15625</v>
      </c>
      <c r="G26" s="41">
        <f>SUM(G75:G75)</f>
        <v>4528984</v>
      </c>
      <c r="H26" s="16">
        <f>SUM(E26:F26)</f>
        <v>31250</v>
      </c>
      <c r="I26" s="18">
        <f>H26/$C$20</f>
        <v>0.25</v>
      </c>
      <c r="J26" s="14"/>
      <c r="K26" s="14"/>
      <c r="L26" s="14"/>
      <c r="M26" s="14"/>
      <c r="N26" s="14"/>
    </row>
    <row r="27" spans="2:14" ht="30.95" customHeight="1">
      <c r="B27" s="10" t="s">
        <v>46</v>
      </c>
      <c r="C27" s="10" t="s">
        <v>76</v>
      </c>
      <c r="D27" s="36">
        <f>Tarifas!E38</f>
        <v>0.115</v>
      </c>
      <c r="E27" s="11">
        <f>ROUND($C$20*('Base de distribución'!E147/SUM('Base de distribución'!E139,'Base de distribución'!E140,'Base de distribución'!E141,'Base de distribución'!E142,'Base de distribución'!E143,'Base de distribución'!E144,'Base de distribución'!E145,'Base de distribución'!E146,'Base de distribución'!E147,'Base de distribución'!E148)),2)</f>
        <v>9375</v>
      </c>
      <c r="F27" s="11">
        <f>ROUND($C$20-SUM(E23:F23,E24:F24,E25:F25,E26:F26,E27:E27),2)</f>
        <v>9375.02</v>
      </c>
      <c r="G27" s="40">
        <f>SUM(G78:G78)</f>
        <v>163042</v>
      </c>
      <c r="H27" s="11">
        <f>SUM(E27:F27)</f>
        <v>18750.02</v>
      </c>
      <c r="I27" s="13">
        <f>H27/$C$20</f>
        <v>0.15000015999999999</v>
      </c>
      <c r="J27" s="9"/>
      <c r="K27" s="9"/>
      <c r="L27" s="9"/>
      <c r="M27" s="9"/>
      <c r="N27" s="9"/>
    </row>
    <row r="28" spans="2:14" ht="30" customHeight="1">
      <c r="B28" s="19" t="s">
        <v>78</v>
      </c>
      <c r="C28" s="19"/>
      <c r="D28" s="19"/>
      <c r="E28" s="20">
        <f>SUM(E23:E27)</f>
        <v>62499.99</v>
      </c>
      <c r="F28" s="20">
        <f>SUM(F23:F27)</f>
        <v>62500.009999999995</v>
      </c>
      <c r="G28" s="19"/>
      <c r="H28" s="20">
        <f>SUM(H23:H27)</f>
        <v>125000</v>
      </c>
      <c r="I28" s="22">
        <f>SUM(I23:I27)</f>
        <v>1</v>
      </c>
      <c r="J28" s="19"/>
      <c r="K28" s="19"/>
      <c r="L28" s="19"/>
      <c r="M28" s="19"/>
      <c r="N28" s="19"/>
    </row>
    <row r="29" spans="2:14">
      <c r="B29" s="2" t="s">
        <v>79</v>
      </c>
      <c r="C29" s="42">
        <f>ROUND(C20-H28,2)</f>
        <v>0</v>
      </c>
    </row>
    <row r="30" spans="2:14" ht="32.1" customHeight="1">
      <c r="B30" s="45" t="s">
        <v>80</v>
      </c>
      <c r="C30" s="45"/>
      <c r="D30" s="45"/>
      <c r="E30" s="45"/>
      <c r="F30" s="45"/>
      <c r="G30" s="45"/>
      <c r="H30" s="45"/>
      <c r="I30" s="45"/>
      <c r="J30" s="45"/>
      <c r="K30" s="45"/>
      <c r="L30" s="45"/>
      <c r="M30" s="45"/>
      <c r="N30" s="45"/>
    </row>
    <row r="31" spans="2:14" ht="32.1" customHeight="1">
      <c r="B31" s="45" t="s">
        <v>81</v>
      </c>
      <c r="C31" s="45"/>
      <c r="D31" s="45"/>
      <c r="E31" s="45"/>
      <c r="F31" s="45"/>
      <c r="G31" s="45"/>
      <c r="H31" s="45"/>
      <c r="I31" s="45"/>
      <c r="J31" s="45"/>
      <c r="K31" s="45"/>
      <c r="L31" s="45"/>
      <c r="M31" s="45"/>
      <c r="N31" s="45"/>
    </row>
    <row r="33" spans="2:14" ht="24.95" customHeight="1">
      <c r="B33" s="47" t="s">
        <v>82</v>
      </c>
      <c r="C33" s="47"/>
      <c r="D33" s="47"/>
      <c r="E33" s="47"/>
      <c r="F33" s="47"/>
      <c r="G33" s="47"/>
      <c r="H33" s="47"/>
      <c r="I33" s="47"/>
      <c r="J33" s="47"/>
      <c r="K33" s="47"/>
      <c r="L33" s="47"/>
      <c r="M33" s="47"/>
      <c r="N33" s="47"/>
    </row>
    <row r="34" spans="2:14" ht="42" customHeight="1">
      <c r="B34" s="6" t="s">
        <v>38</v>
      </c>
      <c r="C34" s="7" t="s">
        <v>83</v>
      </c>
      <c r="D34" s="7" t="s">
        <v>84</v>
      </c>
      <c r="E34" s="7" t="s">
        <v>196</v>
      </c>
      <c r="F34" s="8" t="s">
        <v>119</v>
      </c>
    </row>
    <row r="35" spans="2:14" ht="44.1" customHeight="1">
      <c r="B35" s="10" t="s">
        <v>8</v>
      </c>
      <c r="C35" s="10" t="s">
        <v>85</v>
      </c>
      <c r="D35" s="10" t="s">
        <v>86</v>
      </c>
      <c r="E35" s="9" t="s">
        <v>196</v>
      </c>
      <c r="F35" s="9" t="s">
        <v>119</v>
      </c>
      <c r="G35" s="9"/>
      <c r="H35" s="9"/>
      <c r="I35" s="9"/>
      <c r="J35" s="9"/>
      <c r="K35" s="9"/>
      <c r="L35" s="9"/>
      <c r="M35" s="9"/>
      <c r="N35" s="9"/>
    </row>
    <row r="36" spans="2:14" ht="44.1" customHeight="1">
      <c r="B36" s="15" t="s">
        <v>41</v>
      </c>
      <c r="C36" s="15" t="s">
        <v>87</v>
      </c>
      <c r="D36" s="15" t="s">
        <v>88</v>
      </c>
      <c r="E36" s="14" t="s">
        <v>196</v>
      </c>
      <c r="F36" s="14" t="s">
        <v>119</v>
      </c>
      <c r="G36" s="14"/>
      <c r="H36" s="14"/>
      <c r="I36" s="14"/>
      <c r="J36" s="14"/>
      <c r="K36" s="14"/>
      <c r="L36" s="14"/>
      <c r="M36" s="14"/>
      <c r="N36" s="14"/>
    </row>
    <row r="37" spans="2:14" ht="44.1" customHeight="1">
      <c r="B37" s="10" t="s">
        <v>43</v>
      </c>
      <c r="C37" s="10" t="s">
        <v>89</v>
      </c>
      <c r="D37" s="10" t="s">
        <v>86</v>
      </c>
      <c r="E37" s="9" t="s">
        <v>196</v>
      </c>
      <c r="F37" s="9" t="s">
        <v>119</v>
      </c>
      <c r="G37" s="9"/>
      <c r="H37" s="9"/>
      <c r="I37" s="9"/>
      <c r="J37" s="9"/>
      <c r="K37" s="9"/>
      <c r="L37" s="9"/>
      <c r="M37" s="9"/>
      <c r="N37" s="9"/>
    </row>
    <row r="38" spans="2:14" ht="44.1" customHeight="1">
      <c r="B38" s="15" t="s">
        <v>44</v>
      </c>
      <c r="C38" s="15" t="s">
        <v>90</v>
      </c>
      <c r="D38" s="15" t="s">
        <v>86</v>
      </c>
      <c r="E38" s="14" t="s">
        <v>196</v>
      </c>
      <c r="F38" s="14" t="s">
        <v>119</v>
      </c>
      <c r="G38" s="14"/>
      <c r="H38" s="14"/>
      <c r="I38" s="14"/>
      <c r="J38" s="14"/>
      <c r="K38" s="14"/>
      <c r="L38" s="14"/>
      <c r="M38" s="14"/>
      <c r="N38" s="14"/>
    </row>
    <row r="39" spans="2:14" ht="44.1" customHeight="1">
      <c r="B39" s="10" t="s">
        <v>46</v>
      </c>
      <c r="C39" s="10" t="s">
        <v>91</v>
      </c>
      <c r="D39" s="10" t="s">
        <v>86</v>
      </c>
      <c r="E39" s="9" t="s">
        <v>196</v>
      </c>
      <c r="F39" s="9" t="s">
        <v>119</v>
      </c>
      <c r="G39" s="9"/>
      <c r="H39" s="9"/>
      <c r="I39" s="9"/>
      <c r="J39" s="9"/>
      <c r="K39" s="9"/>
      <c r="L39" s="9"/>
      <c r="M39" s="9"/>
      <c r="N39" s="9"/>
    </row>
    <row r="41" spans="2:14" ht="24.95" customHeight="1">
      <c r="B41" s="47" t="s">
        <v>93</v>
      </c>
      <c r="C41" s="47"/>
      <c r="D41" s="47"/>
      <c r="E41" s="47"/>
      <c r="F41" s="47"/>
      <c r="G41" s="47"/>
      <c r="H41" s="47"/>
      <c r="I41" s="47"/>
      <c r="J41" s="47"/>
      <c r="K41" s="47"/>
      <c r="L41" s="47"/>
      <c r="M41" s="47"/>
      <c r="N41" s="47"/>
    </row>
    <row r="42" spans="2:14" ht="42" customHeight="1">
      <c r="B42" s="6" t="s">
        <v>94</v>
      </c>
      <c r="C42" s="7" t="s">
        <v>95</v>
      </c>
      <c r="D42" s="7" t="s">
        <v>64</v>
      </c>
      <c r="E42" s="7" t="s">
        <v>196</v>
      </c>
      <c r="F42" s="7" t="s">
        <v>119</v>
      </c>
      <c r="G42" s="7" t="s">
        <v>96</v>
      </c>
      <c r="H42" s="7" t="s">
        <v>2</v>
      </c>
      <c r="I42" s="8" t="s">
        <v>97</v>
      </c>
    </row>
    <row r="43" spans="2:14" ht="24.95" customHeight="1">
      <c r="B43" s="47" t="s">
        <v>8</v>
      </c>
      <c r="C43" s="47"/>
      <c r="D43" s="47"/>
      <c r="E43" s="47"/>
      <c r="F43" s="47"/>
      <c r="G43" s="47"/>
      <c r="H43" s="47"/>
      <c r="I43" s="47"/>
      <c r="J43" s="47"/>
      <c r="K43" s="47"/>
      <c r="L43" s="47"/>
      <c r="M43" s="47"/>
      <c r="N43" s="47"/>
    </row>
    <row r="44" spans="2:14" ht="38.1" customHeight="1">
      <c r="B44" s="10" t="str">
        <f>Tarifas!B7</f>
        <v>Telemundo</v>
      </c>
      <c r="C44" s="10" t="str">
        <f>Tarifas!C7</f>
        <v>Dia a Dia</v>
      </c>
      <c r="D44" s="36">
        <f>Tarifas!E7</f>
        <v>782</v>
      </c>
      <c r="E44" s="37">
        <f>E23/$D$23</f>
        <v>1.3423534377871029</v>
      </c>
      <c r="F44" s="37">
        <f>F23/$D$23</f>
        <v>1.3423534377871029</v>
      </c>
      <c r="G44" s="37">
        <f t="shared" ref="G44:G49" si="1">SUM(E44:F44)</f>
        <v>2.6847068755742058</v>
      </c>
      <c r="H44" s="11">
        <f>ROUND(G44*D44,2)</f>
        <v>2099.44</v>
      </c>
      <c r="I44" s="13">
        <f t="shared" ref="I44:I49" si="2">H44/$C$20</f>
        <v>1.6795520000000001E-2</v>
      </c>
      <c r="J44" s="9"/>
      <c r="K44" s="9"/>
      <c r="L44" s="9"/>
      <c r="M44" s="9"/>
      <c r="N44" s="9"/>
    </row>
    <row r="45" spans="2:14" ht="38.1" customHeight="1">
      <c r="B45" s="15" t="str">
        <f>Tarifas!B8</f>
        <v>Telemundo</v>
      </c>
      <c r="C45" s="15" t="str">
        <f>Tarifas!C8</f>
        <v>PR Gana 6pm (M,W,T,f,Su)</v>
      </c>
      <c r="D45" s="38">
        <f>Tarifas!E8</f>
        <v>2541.5</v>
      </c>
      <c r="E45" s="39">
        <f>E23/$D$23</f>
        <v>1.3423534377871029</v>
      </c>
      <c r="F45" s="39">
        <f>F23/$D$23</f>
        <v>1.3423534377871029</v>
      </c>
      <c r="G45" s="39">
        <f t="shared" si="1"/>
        <v>2.6847068755742058</v>
      </c>
      <c r="H45" s="16">
        <f>ROUND(G45*D45,2)</f>
        <v>6823.18</v>
      </c>
      <c r="I45" s="18">
        <f t="shared" si="2"/>
        <v>5.4585439999999999E-2</v>
      </c>
      <c r="J45" s="14"/>
      <c r="K45" s="14"/>
      <c r="L45" s="14"/>
      <c r="M45" s="14"/>
      <c r="N45" s="14"/>
    </row>
    <row r="46" spans="2:14" ht="38.1" customHeight="1">
      <c r="B46" s="10" t="str">
        <f>Tarifas!B9</f>
        <v>WAPA</v>
      </c>
      <c r="C46" s="10" t="str">
        <f>Tarifas!C9</f>
        <v>Pegate al MedioDIa</v>
      </c>
      <c r="D46" s="36">
        <f>Tarifas!E9</f>
        <v>977.5</v>
      </c>
      <c r="E46" s="37">
        <f>E23/$D$23</f>
        <v>1.3423534377871029</v>
      </c>
      <c r="F46" s="37">
        <f>F23/$D$23</f>
        <v>1.3423534377871029</v>
      </c>
      <c r="G46" s="37">
        <f t="shared" si="1"/>
        <v>2.6847068755742058</v>
      </c>
      <c r="H46" s="11">
        <f>ROUND(G46*D46,2)</f>
        <v>2624.3</v>
      </c>
      <c r="I46" s="13">
        <f t="shared" si="2"/>
        <v>2.09944E-2</v>
      </c>
      <c r="J46" s="9"/>
      <c r="K46" s="9"/>
      <c r="L46" s="9"/>
      <c r="M46" s="9"/>
      <c r="N46" s="9"/>
    </row>
    <row r="47" spans="2:14" ht="38.1" customHeight="1">
      <c r="B47" s="15" t="str">
        <f>Tarifas!B10</f>
        <v>WAPA</v>
      </c>
      <c r="C47" s="15" t="str">
        <f>Tarifas!C10</f>
        <v>Reality-Funcion Estelar 7p</v>
      </c>
      <c r="D47" s="38">
        <f>Tarifas!E10</f>
        <v>3519</v>
      </c>
      <c r="E47" s="39">
        <f>E23/$D$23</f>
        <v>1.3423534377871029</v>
      </c>
      <c r="F47" s="39">
        <f>F23/$D$23</f>
        <v>1.3423534377871029</v>
      </c>
      <c r="G47" s="39">
        <f t="shared" si="1"/>
        <v>2.6847068755742058</v>
      </c>
      <c r="H47" s="16">
        <f>ROUND(G47*D47,2)</f>
        <v>9447.48</v>
      </c>
      <c r="I47" s="18">
        <f t="shared" si="2"/>
        <v>7.5579839999999995E-2</v>
      </c>
      <c r="J47" s="14"/>
      <c r="K47" s="14"/>
      <c r="L47" s="14"/>
      <c r="M47" s="14"/>
      <c r="N47" s="14"/>
    </row>
    <row r="48" spans="2:14" ht="38.1" customHeight="1">
      <c r="B48" s="10" t="str">
        <f>Tarifas!B11</f>
        <v>TeleOnce</v>
      </c>
      <c r="C48" s="10" t="str">
        <f>Tarifas!C11</f>
        <v>PR en Vivo</v>
      </c>
      <c r="D48" s="36">
        <f>Tarifas!E11</f>
        <v>586.5</v>
      </c>
      <c r="E48" s="37">
        <f>E23/$D$23</f>
        <v>1.3423534377871029</v>
      </c>
      <c r="F48" s="37">
        <f>F23/$D$23</f>
        <v>1.3423534377871029</v>
      </c>
      <c r="G48" s="37">
        <f t="shared" si="1"/>
        <v>2.6847068755742058</v>
      </c>
      <c r="H48" s="11">
        <f>ROUND(G48*D48,2)</f>
        <v>1574.58</v>
      </c>
      <c r="I48" s="13">
        <f t="shared" si="2"/>
        <v>1.2596639999999999E-2</v>
      </c>
      <c r="J48" s="9"/>
      <c r="K48" s="9"/>
      <c r="L48" s="9"/>
      <c r="M48" s="9"/>
      <c r="N48" s="9"/>
    </row>
    <row r="49" spans="2:14" ht="38.1" customHeight="1">
      <c r="B49" s="15" t="str">
        <f>Tarifas!B12</f>
        <v>TeleOnce</v>
      </c>
      <c r="C49" s="15" t="str">
        <f>Tarifas!C12</f>
        <v>Las Noticias Prime</v>
      </c>
      <c r="D49" s="38">
        <f>Tarifas!E12</f>
        <v>1661.75</v>
      </c>
      <c r="E49" s="39">
        <f>E23/$D$23</f>
        <v>1.3423534377871029</v>
      </c>
      <c r="F49" s="39">
        <f>F23/$D$23</f>
        <v>1.3423534377871029</v>
      </c>
      <c r="G49" s="39">
        <f t="shared" si="1"/>
        <v>2.6847068755742058</v>
      </c>
      <c r="H49" s="16">
        <f>ROUND(H23-SUM(H44:H48),2)</f>
        <v>4461.32</v>
      </c>
      <c r="I49" s="18">
        <f t="shared" si="2"/>
        <v>3.5690559999999996E-2</v>
      </c>
      <c r="J49" s="14"/>
      <c r="K49" s="14"/>
      <c r="L49" s="14"/>
      <c r="M49" s="14"/>
      <c r="N49" s="14"/>
    </row>
    <row r="50" spans="2:14" ht="30" customHeight="1">
      <c r="B50" s="19" t="s">
        <v>98</v>
      </c>
      <c r="C50" s="19"/>
      <c r="D50" s="19"/>
      <c r="E50" s="19"/>
      <c r="F50" s="19"/>
      <c r="G50" s="19"/>
      <c r="H50" s="20">
        <f>SUM(H44:H49)</f>
        <v>27030.300000000003</v>
      </c>
      <c r="I50" s="19"/>
      <c r="J50" s="19"/>
      <c r="K50" s="19"/>
      <c r="L50" s="19"/>
      <c r="M50" s="19"/>
      <c r="N50" s="19"/>
    </row>
    <row r="51" spans="2:14" ht="24.95" customHeight="1">
      <c r="B51" s="47" t="s">
        <v>41</v>
      </c>
      <c r="C51" s="47"/>
      <c r="D51" s="47"/>
      <c r="E51" s="47"/>
      <c r="F51" s="47"/>
      <c r="G51" s="47"/>
      <c r="H51" s="47"/>
      <c r="I51" s="47"/>
      <c r="J51" s="47"/>
      <c r="K51" s="47"/>
      <c r="L51" s="47"/>
      <c r="M51" s="47"/>
      <c r="N51" s="47"/>
    </row>
    <row r="52" spans="2:14" ht="38.1" customHeight="1">
      <c r="B52" s="10" t="str">
        <f>Tarifas!B13</f>
        <v>Unica Radio-1230am</v>
      </c>
      <c r="C52" s="10" t="str">
        <f>Tarifas!C13</f>
        <v>ROS 7 a. m.–5 p. m.</v>
      </c>
      <c r="D52" s="36">
        <f>Tarifas!E13</f>
        <v>36.799999999999997</v>
      </c>
      <c r="E52" s="37">
        <f>E24/$D$24</f>
        <v>6.7117685970292857</v>
      </c>
      <c r="F52" s="37">
        <f>F24/$D$24</f>
        <v>6.7117685970292857</v>
      </c>
      <c r="G52" s="37">
        <f t="shared" ref="G52:G69" si="3">SUM(E52:F52)</f>
        <v>13.423537194058571</v>
      </c>
      <c r="H52" s="11">
        <f t="shared" ref="H52:H68" si="4">ROUND(G52*D52,2)</f>
        <v>493.99</v>
      </c>
      <c r="I52" s="13">
        <f t="shared" ref="I52:I69" si="5">H52/$C$20</f>
        <v>3.9519200000000003E-3</v>
      </c>
      <c r="J52" s="9"/>
      <c r="K52" s="9"/>
      <c r="L52" s="9"/>
      <c r="M52" s="9"/>
      <c r="N52" s="9"/>
    </row>
    <row r="53" spans="2:14" ht="38.1" customHeight="1">
      <c r="B53" s="15" t="str">
        <f>Tarifas!B14</f>
        <v>Radio Once-1120AM</v>
      </c>
      <c r="C53" s="15" t="str">
        <f>Tarifas!C14</f>
        <v>ROS 7 a. m.–5 p. m.</v>
      </c>
      <c r="D53" s="38">
        <f>Tarifas!E14</f>
        <v>36.799999999999997</v>
      </c>
      <c r="E53" s="39">
        <f>E24/$D$24</f>
        <v>6.7117685970292857</v>
      </c>
      <c r="F53" s="39">
        <f>F24/$D$24</f>
        <v>6.7117685970292857</v>
      </c>
      <c r="G53" s="39">
        <f t="shared" si="3"/>
        <v>13.423537194058571</v>
      </c>
      <c r="H53" s="16">
        <f t="shared" si="4"/>
        <v>493.99</v>
      </c>
      <c r="I53" s="18">
        <f t="shared" si="5"/>
        <v>3.9519200000000003E-3</v>
      </c>
      <c r="J53" s="14"/>
      <c r="K53" s="14"/>
      <c r="L53" s="14"/>
      <c r="M53" s="14"/>
      <c r="N53" s="14"/>
    </row>
    <row r="54" spans="2:14" ht="38.1" customHeight="1">
      <c r="B54" s="10" t="str">
        <f>Tarifas!B15</f>
        <v>WAPA Radio-Borinquen</v>
      </c>
      <c r="C54" s="10" t="str">
        <f>Tarifas!C15</f>
        <v>ROS 7 a. m.–5 p. m.</v>
      </c>
      <c r="D54" s="36">
        <f>Tarifas!E15</f>
        <v>55.2</v>
      </c>
      <c r="E54" s="37">
        <f>E24/$D$24</f>
        <v>6.7117685970292857</v>
      </c>
      <c r="F54" s="37">
        <f>F24/$D$24</f>
        <v>6.7117685970292857</v>
      </c>
      <c r="G54" s="37">
        <f t="shared" si="3"/>
        <v>13.423537194058571</v>
      </c>
      <c r="H54" s="11">
        <f t="shared" si="4"/>
        <v>740.98</v>
      </c>
      <c r="I54" s="13">
        <f t="shared" si="5"/>
        <v>5.9278400000000002E-3</v>
      </c>
      <c r="J54" s="9"/>
      <c r="K54" s="9"/>
      <c r="L54" s="9"/>
      <c r="M54" s="9"/>
      <c r="N54" s="9"/>
    </row>
    <row r="55" spans="2:14" ht="38.1" customHeight="1">
      <c r="B55" s="15" t="str">
        <f>Tarifas!B16</f>
        <v>WAEL-FM</v>
      </c>
      <c r="C55" s="15" t="str">
        <f>Tarifas!C16</f>
        <v>ROS 7 a. m.–5 p. m.</v>
      </c>
      <c r="D55" s="38">
        <f>Tarifas!E16</f>
        <v>36.799999999999997</v>
      </c>
      <c r="E55" s="39">
        <f>E24/$D$24</f>
        <v>6.7117685970292857</v>
      </c>
      <c r="F55" s="39">
        <f>F24/$D$24</f>
        <v>6.7117685970292857</v>
      </c>
      <c r="G55" s="39">
        <f t="shared" si="3"/>
        <v>13.423537194058571</v>
      </c>
      <c r="H55" s="16">
        <f t="shared" si="4"/>
        <v>493.99</v>
      </c>
      <c r="I55" s="18">
        <f t="shared" si="5"/>
        <v>3.9519200000000003E-3</v>
      </c>
      <c r="J55" s="14"/>
      <c r="K55" s="14"/>
      <c r="L55" s="14"/>
      <c r="M55" s="14"/>
      <c r="N55" s="14"/>
    </row>
    <row r="56" spans="2:14" ht="38.1" customHeight="1">
      <c r="B56" s="10" t="str">
        <f>Tarifas!B17</f>
        <v>WABA-AM (Aguadilla)</v>
      </c>
      <c r="C56" s="10" t="str">
        <f>Tarifas!C17</f>
        <v>ROS 7 a. m.–5 p. m.</v>
      </c>
      <c r="D56" s="36">
        <f>Tarifas!E17</f>
        <v>28.52</v>
      </c>
      <c r="E56" s="37">
        <f>E24/$D$24</f>
        <v>6.7117685970292857</v>
      </c>
      <c r="F56" s="37">
        <f>F24/$D$24</f>
        <v>6.7117685970292857</v>
      </c>
      <c r="G56" s="37">
        <f t="shared" si="3"/>
        <v>13.423537194058571</v>
      </c>
      <c r="H56" s="11">
        <f t="shared" si="4"/>
        <v>382.84</v>
      </c>
      <c r="I56" s="13">
        <f t="shared" si="5"/>
        <v>3.0627199999999997E-3</v>
      </c>
      <c r="J56" s="9"/>
      <c r="K56" s="9"/>
      <c r="L56" s="9"/>
      <c r="M56" s="9"/>
      <c r="N56" s="9"/>
    </row>
    <row r="57" spans="2:14" ht="38.1" customHeight="1">
      <c r="B57" s="15" t="str">
        <f>Tarifas!B18</f>
        <v>WHOY-AM (Salinas)</v>
      </c>
      <c r="C57" s="15" t="str">
        <f>Tarifas!C18</f>
        <v>ROS 7 a. m.–5 p. m.</v>
      </c>
      <c r="D57" s="38">
        <f>Tarifas!E18</f>
        <v>28.52</v>
      </c>
      <c r="E57" s="39">
        <f>E24/$D$24</f>
        <v>6.7117685970292857</v>
      </c>
      <c r="F57" s="39">
        <f>F24/$D$24</f>
        <v>6.7117685970292857</v>
      </c>
      <c r="G57" s="39">
        <f t="shared" si="3"/>
        <v>13.423537194058571</v>
      </c>
      <c r="H57" s="16">
        <f t="shared" si="4"/>
        <v>382.84</v>
      </c>
      <c r="I57" s="18">
        <f t="shared" si="5"/>
        <v>3.0627199999999997E-3</v>
      </c>
      <c r="J57" s="14"/>
      <c r="K57" s="14"/>
      <c r="L57" s="14"/>
      <c r="M57" s="14"/>
      <c r="N57" s="14"/>
    </row>
    <row r="58" spans="2:14" ht="38.1" customHeight="1">
      <c r="B58" s="10" t="str">
        <f>Tarifas!B19</f>
        <v>WGDL-AM/FM (Lares/Aguadilla)</v>
      </c>
      <c r="C58" s="10" t="str">
        <f>Tarifas!C19</f>
        <v>ROS 7 a. m.–5 p. m.</v>
      </c>
      <c r="D58" s="36">
        <f>Tarifas!E19</f>
        <v>45.08</v>
      </c>
      <c r="E58" s="37">
        <f>E24/$D$24</f>
        <v>6.7117685970292857</v>
      </c>
      <c r="F58" s="37">
        <f>F24/$D$24</f>
        <v>6.7117685970292857</v>
      </c>
      <c r="G58" s="37">
        <f t="shared" si="3"/>
        <v>13.423537194058571</v>
      </c>
      <c r="H58" s="11">
        <f t="shared" si="4"/>
        <v>605.13</v>
      </c>
      <c r="I58" s="13">
        <f t="shared" si="5"/>
        <v>4.8410399999999996E-3</v>
      </c>
      <c r="J58" s="9"/>
      <c r="K58" s="9"/>
      <c r="L58" s="9"/>
      <c r="M58" s="9"/>
      <c r="N58" s="9"/>
    </row>
    <row r="59" spans="2:14" ht="38.1" customHeight="1">
      <c r="B59" s="15" t="str">
        <f>Tarifas!B20</f>
        <v>WPRA-AM (Mayaguez)</v>
      </c>
      <c r="C59" s="15" t="str">
        <f>Tarifas!C20</f>
        <v>ROS 7 a. m.–5 p. m.</v>
      </c>
      <c r="D59" s="38">
        <f>Tarifas!E20</f>
        <v>28.52</v>
      </c>
      <c r="E59" s="39">
        <f>E24/$D$24</f>
        <v>6.7117685970292857</v>
      </c>
      <c r="F59" s="39">
        <f>F24/$D$24</f>
        <v>6.7117685970292857</v>
      </c>
      <c r="G59" s="39">
        <f t="shared" si="3"/>
        <v>13.423537194058571</v>
      </c>
      <c r="H59" s="16">
        <f t="shared" si="4"/>
        <v>382.84</v>
      </c>
      <c r="I59" s="18">
        <f t="shared" si="5"/>
        <v>3.0627199999999997E-3</v>
      </c>
      <c r="J59" s="14"/>
      <c r="K59" s="14"/>
      <c r="L59" s="14"/>
      <c r="M59" s="14"/>
      <c r="N59" s="14"/>
    </row>
    <row r="60" spans="2:14" ht="38.1" customHeight="1">
      <c r="B60" s="10" t="str">
        <f>Tarifas!B21</f>
        <v>WISA-AM (Isabela)</v>
      </c>
      <c r="C60" s="10" t="str">
        <f>Tarifas!C21</f>
        <v>ROS 7 a. m.–5 p. m.</v>
      </c>
      <c r="D60" s="36">
        <f>Tarifas!E21</f>
        <v>28.52</v>
      </c>
      <c r="E60" s="37">
        <f>E24/$D$24</f>
        <v>6.7117685970292857</v>
      </c>
      <c r="F60" s="37">
        <f>F24/$D$24</f>
        <v>6.7117685970292857</v>
      </c>
      <c r="G60" s="37">
        <f t="shared" si="3"/>
        <v>13.423537194058571</v>
      </c>
      <c r="H60" s="11">
        <f t="shared" si="4"/>
        <v>382.84</v>
      </c>
      <c r="I60" s="13">
        <f t="shared" si="5"/>
        <v>3.0627199999999997E-3</v>
      </c>
      <c r="J60" s="9"/>
      <c r="K60" s="9"/>
      <c r="L60" s="9"/>
      <c r="M60" s="9"/>
      <c r="N60" s="9"/>
    </row>
    <row r="61" spans="2:14" ht="38.1" customHeight="1">
      <c r="B61" s="15" t="str">
        <f>Tarifas!B22</f>
        <v xml:space="preserve">Auspicios: $1,075,000 pendientes de con con el RFP. No están sumados al escenario de $3,763,000. </v>
      </c>
      <c r="C61" s="15" t="str">
        <f>Tarifas!C22</f>
        <v>ROS 7 a. m.–5 p. m.</v>
      </c>
      <c r="D61" s="38">
        <f>Tarifas!E22</f>
        <v>28.52</v>
      </c>
      <c r="E61" s="39">
        <f>E24/$D$24</f>
        <v>6.7117685970292857</v>
      </c>
      <c r="F61" s="39">
        <f>F24/$D$24</f>
        <v>6.7117685970292857</v>
      </c>
      <c r="G61" s="39">
        <f t="shared" si="3"/>
        <v>13.423537194058571</v>
      </c>
      <c r="H61" s="16">
        <f t="shared" si="4"/>
        <v>382.84</v>
      </c>
      <c r="I61" s="18">
        <f t="shared" si="5"/>
        <v>3.0627199999999997E-3</v>
      </c>
      <c r="J61" s="14"/>
      <c r="K61" s="14"/>
      <c r="L61" s="14"/>
      <c r="M61" s="14"/>
      <c r="N61" s="14"/>
    </row>
    <row r="62" spans="2:14" ht="38.1" customHeight="1">
      <c r="B62" s="10" t="str">
        <f>Tarifas!B23</f>
        <v>WCPR-AM (Coamo)</v>
      </c>
      <c r="C62" s="10" t="str">
        <f>Tarifas!C23</f>
        <v>ROS 7 a. m.–5 p. m.</v>
      </c>
      <c r="D62" s="36">
        <f>Tarifas!E23</f>
        <v>28.52</v>
      </c>
      <c r="E62" s="37">
        <f>E24/$D$24</f>
        <v>6.7117685970292857</v>
      </c>
      <c r="F62" s="37">
        <f>F24/$D$24</f>
        <v>6.7117685970292857</v>
      </c>
      <c r="G62" s="37">
        <f t="shared" si="3"/>
        <v>13.423537194058571</v>
      </c>
      <c r="H62" s="11">
        <f t="shared" si="4"/>
        <v>382.84</v>
      </c>
      <c r="I62" s="13">
        <f t="shared" si="5"/>
        <v>3.0627199999999997E-3</v>
      </c>
      <c r="J62" s="9"/>
      <c r="K62" s="9"/>
      <c r="L62" s="9"/>
      <c r="M62" s="9"/>
      <c r="N62" s="9"/>
    </row>
    <row r="63" spans="2:14" ht="38.1" customHeight="1">
      <c r="B63" s="15" t="str">
        <f>Tarifas!B24</f>
        <v>WLPR-AM (SanSebastian)</v>
      </c>
      <c r="C63" s="15" t="str">
        <f>Tarifas!C24</f>
        <v>ROS 7 a. m.–5 p. m.</v>
      </c>
      <c r="D63" s="38">
        <f>Tarifas!E24</f>
        <v>28.52</v>
      </c>
      <c r="E63" s="39">
        <f>E24/$D$24</f>
        <v>6.7117685970292857</v>
      </c>
      <c r="F63" s="39">
        <f>F24/$D$24</f>
        <v>6.7117685970292857</v>
      </c>
      <c r="G63" s="39">
        <f t="shared" si="3"/>
        <v>13.423537194058571</v>
      </c>
      <c r="H63" s="16">
        <f t="shared" si="4"/>
        <v>382.84</v>
      </c>
      <c r="I63" s="18">
        <f t="shared" si="5"/>
        <v>3.0627199999999997E-3</v>
      </c>
      <c r="J63" s="14"/>
      <c r="K63" s="14"/>
      <c r="L63" s="14"/>
      <c r="M63" s="14"/>
      <c r="N63" s="14"/>
    </row>
    <row r="64" spans="2:14" ht="38.1" customHeight="1">
      <c r="B64" s="10" t="str">
        <f>Tarifas!B25</f>
        <v xml:space="preserve">Entregas estimadas con tarifas de referencia. </v>
      </c>
      <c r="C64" s="10" t="str">
        <f>Tarifas!C25</f>
        <v>ROS 7 a. m.–5 p. m.</v>
      </c>
      <c r="D64" s="36">
        <f>Tarifas!E25</f>
        <v>28.52</v>
      </c>
      <c r="E64" s="37">
        <f>E24/$D$24</f>
        <v>6.7117685970292857</v>
      </c>
      <c r="F64" s="37">
        <f>F24/$D$24</f>
        <v>6.7117685970292857</v>
      </c>
      <c r="G64" s="37">
        <f t="shared" si="3"/>
        <v>13.423537194058571</v>
      </c>
      <c r="H64" s="11">
        <f t="shared" si="4"/>
        <v>382.84</v>
      </c>
      <c r="I64" s="13">
        <f t="shared" si="5"/>
        <v>3.0627199999999997E-3</v>
      </c>
      <c r="J64" s="9"/>
      <c r="K64" s="9"/>
      <c r="L64" s="9"/>
      <c r="M64" s="9"/>
      <c r="N64" s="9"/>
    </row>
    <row r="65" spans="2:14" ht="38.1" customHeight="1">
      <c r="B65" s="15" t="str">
        <f>Tarifas!B26</f>
        <v>WENA-AM (Yauco)</v>
      </c>
      <c r="C65" s="15" t="str">
        <f>Tarifas!C26</f>
        <v>ROS 7 a. m.–5 p. m.</v>
      </c>
      <c r="D65" s="38">
        <f>Tarifas!E26</f>
        <v>28.52</v>
      </c>
      <c r="E65" s="39">
        <f>E24/$D$24</f>
        <v>6.7117685970292857</v>
      </c>
      <c r="F65" s="39">
        <f>F24/$D$24</f>
        <v>6.7117685970292857</v>
      </c>
      <c r="G65" s="39">
        <f t="shared" si="3"/>
        <v>13.423537194058571</v>
      </c>
      <c r="H65" s="16">
        <f t="shared" si="4"/>
        <v>382.84</v>
      </c>
      <c r="I65" s="18">
        <f t="shared" si="5"/>
        <v>3.0627199999999997E-3</v>
      </c>
      <c r="J65" s="14"/>
      <c r="K65" s="14"/>
      <c r="L65" s="14"/>
      <c r="M65" s="14"/>
      <c r="N65" s="14"/>
    </row>
    <row r="66" spans="2:14" ht="38.1" customHeight="1">
      <c r="B66" s="10" t="str">
        <f>Tarifas!B27</f>
        <v>SuperK 106Fm (Arecibo)</v>
      </c>
      <c r="C66" s="10" t="str">
        <f>Tarifas!C27</f>
        <v>ROS 7 a. m.–5 p. m.</v>
      </c>
      <c r="D66" s="36">
        <f>Tarifas!E27</f>
        <v>69</v>
      </c>
      <c r="E66" s="37">
        <f>E24/$D$24</f>
        <v>6.7117685970292857</v>
      </c>
      <c r="F66" s="37">
        <f>F24/$D$24</f>
        <v>6.7117685970292857</v>
      </c>
      <c r="G66" s="37">
        <f t="shared" si="3"/>
        <v>13.423537194058571</v>
      </c>
      <c r="H66" s="11">
        <f t="shared" si="4"/>
        <v>926.22</v>
      </c>
      <c r="I66" s="13">
        <f t="shared" si="5"/>
        <v>7.4097600000000005E-3</v>
      </c>
      <c r="J66" s="9"/>
      <c r="K66" s="9"/>
      <c r="L66" s="9"/>
      <c r="M66" s="9"/>
      <c r="N66" s="9"/>
    </row>
    <row r="67" spans="2:14" ht="38.1" customHeight="1">
      <c r="B67" s="15" t="str">
        <f>Tarifas!B28</f>
        <v>Radio Grito (Lares)-Hora del Grito 12md</v>
      </c>
      <c r="C67" s="15" t="s">
        <v>99</v>
      </c>
      <c r="D67" s="38">
        <f>Tarifas!E28</f>
        <v>27.6</v>
      </c>
      <c r="E67" s="39">
        <f>E24/$D$24</f>
        <v>6.7117685970292857</v>
      </c>
      <c r="F67" s="39">
        <f>F24/$D$24</f>
        <v>6.7117685970292857</v>
      </c>
      <c r="G67" s="39">
        <f t="shared" si="3"/>
        <v>13.423537194058571</v>
      </c>
      <c r="H67" s="16">
        <f t="shared" si="4"/>
        <v>370.49</v>
      </c>
      <c r="I67" s="18">
        <f t="shared" si="5"/>
        <v>2.9639200000000001E-3</v>
      </c>
      <c r="J67" s="14"/>
      <c r="K67" s="14"/>
      <c r="L67" s="14"/>
      <c r="M67" s="14"/>
      <c r="N67" s="14"/>
    </row>
    <row r="68" spans="2:14" ht="38.1" customHeight="1">
      <c r="B68" s="10" t="str">
        <f>Tarifas!B29</f>
        <v>NotiUno (NORTE)-La Hornilla &amp; John Alma-Spots</v>
      </c>
      <c r="C68" s="10" t="s">
        <v>100</v>
      </c>
      <c r="D68" s="36">
        <f>Tarifas!E29</f>
        <v>50.6</v>
      </c>
      <c r="E68" s="37">
        <f>E24/$D$24</f>
        <v>6.7117685970292857</v>
      </c>
      <c r="F68" s="37">
        <f>F24/$D$24</f>
        <v>6.7117685970292857</v>
      </c>
      <c r="G68" s="37">
        <f t="shared" si="3"/>
        <v>13.423537194058571</v>
      </c>
      <c r="H68" s="11">
        <f t="shared" si="4"/>
        <v>679.23</v>
      </c>
      <c r="I68" s="13">
        <f t="shared" si="5"/>
        <v>5.4338400000000005E-3</v>
      </c>
      <c r="J68" s="9"/>
      <c r="K68" s="9"/>
      <c r="L68" s="9"/>
      <c r="M68" s="9"/>
      <c r="N68" s="9"/>
    </row>
    <row r="69" spans="2:14" ht="38.1" customHeight="1">
      <c r="B69" s="15" t="str">
        <f>Tarifas!B30</f>
        <v>NotiUno (SUR-Ponce) ROS</v>
      </c>
      <c r="C69" s="15" t="str">
        <f>Tarifas!C30</f>
        <v>ROS 7 a. m.–5 p. m.</v>
      </c>
      <c r="D69" s="38">
        <f>Tarifas!E30</f>
        <v>50.6</v>
      </c>
      <c r="E69" s="39">
        <f>E24/$D$24</f>
        <v>6.7117685970292857</v>
      </c>
      <c r="F69" s="39">
        <f>F24/$D$24</f>
        <v>6.7117685970292857</v>
      </c>
      <c r="G69" s="39">
        <f t="shared" si="3"/>
        <v>13.423537194058571</v>
      </c>
      <c r="H69" s="16">
        <f>ROUND(H24-SUM(H52:H68),2)</f>
        <v>679.22</v>
      </c>
      <c r="I69" s="18">
        <f t="shared" si="5"/>
        <v>5.4337600000000002E-3</v>
      </c>
      <c r="J69" s="14"/>
      <c r="K69" s="14"/>
      <c r="L69" s="14"/>
      <c r="M69" s="14"/>
      <c r="N69" s="14"/>
    </row>
    <row r="70" spans="2:14" ht="30" customHeight="1">
      <c r="B70" s="19" t="s">
        <v>101</v>
      </c>
      <c r="C70" s="19"/>
      <c r="D70" s="19"/>
      <c r="E70" s="19"/>
      <c r="F70" s="19"/>
      <c r="G70" s="19"/>
      <c r="H70" s="20">
        <f>SUM(H52:H69)</f>
        <v>8928.8000000000011</v>
      </c>
      <c r="I70" s="19"/>
      <c r="J70" s="19"/>
      <c r="K70" s="19"/>
      <c r="L70" s="19"/>
      <c r="M70" s="19"/>
      <c r="N70" s="19"/>
    </row>
    <row r="71" spans="2:14" ht="24.95" customHeight="1">
      <c r="B71" s="47" t="s">
        <v>43</v>
      </c>
      <c r="C71" s="47"/>
      <c r="D71" s="47"/>
      <c r="E71" s="47"/>
      <c r="F71" s="47"/>
      <c r="G71" s="47"/>
      <c r="H71" s="47"/>
      <c r="I71" s="47"/>
      <c r="J71" s="47"/>
      <c r="K71" s="47"/>
      <c r="L71" s="47"/>
      <c r="M71" s="47"/>
      <c r="N71" s="47"/>
    </row>
    <row r="72" spans="2:14" ht="38.1" customHeight="1">
      <c r="B72" s="10" t="str">
        <f>Tarifas!B35</f>
        <v>Meta</v>
      </c>
      <c r="C72" s="10" t="str">
        <f>Tarifas!C35</f>
        <v>Video / Reels / Stories</v>
      </c>
      <c r="D72" s="36">
        <f>Tarifas!E35</f>
        <v>8.625</v>
      </c>
      <c r="E72" s="40">
        <f>ROUNDDOWN(E25/$D72*1000,0)</f>
        <v>2263239</v>
      </c>
      <c r="F72" s="40">
        <f>ROUNDDOWN(F25/$D72*1000,0)</f>
        <v>2263239</v>
      </c>
      <c r="G72" s="40">
        <f>SUM(E72:F72)</f>
        <v>4526478</v>
      </c>
      <c r="H72" s="11">
        <f>H25</f>
        <v>39040.879999999997</v>
      </c>
      <c r="I72" s="13">
        <f>H72/$C$20</f>
        <v>0.31232704</v>
      </c>
      <c r="J72" s="9"/>
      <c r="K72" s="9"/>
      <c r="L72" s="9"/>
      <c r="M72" s="9"/>
      <c r="N72" s="9"/>
    </row>
    <row r="73" spans="2:14" ht="30" customHeight="1">
      <c r="B73" s="19" t="s">
        <v>102</v>
      </c>
      <c r="C73" s="19"/>
      <c r="D73" s="19"/>
      <c r="E73" s="19"/>
      <c r="F73" s="19"/>
      <c r="G73" s="19"/>
      <c r="H73" s="20">
        <f>SUM(H72:H72)</f>
        <v>39040.879999999997</v>
      </c>
      <c r="I73" s="19"/>
      <c r="J73" s="19"/>
      <c r="K73" s="19"/>
      <c r="L73" s="19"/>
      <c r="M73" s="19"/>
      <c r="N73" s="19"/>
    </row>
    <row r="74" spans="2:14" ht="24.95" customHeight="1">
      <c r="B74" s="47" t="s">
        <v>44</v>
      </c>
      <c r="C74" s="47"/>
      <c r="D74" s="47"/>
      <c r="E74" s="47"/>
      <c r="F74" s="47"/>
      <c r="G74" s="47"/>
      <c r="H74" s="47"/>
      <c r="I74" s="47"/>
      <c r="J74" s="47"/>
      <c r="K74" s="47"/>
      <c r="L74" s="47"/>
      <c r="M74" s="47"/>
      <c r="N74" s="47"/>
    </row>
    <row r="75" spans="2:14" ht="38.1" customHeight="1">
      <c r="B75" s="10" t="str">
        <f>Tarifas!B36</f>
        <v>YouTube</v>
      </c>
      <c r="C75" s="10" t="str">
        <f>Tarifas!C36</f>
        <v>Video 15–30 s</v>
      </c>
      <c r="D75" s="36">
        <f>Tarifas!E36</f>
        <v>6.9</v>
      </c>
      <c r="E75" s="40">
        <f>ROUNDDOWN(E26/$D75*1000,0)</f>
        <v>2264492</v>
      </c>
      <c r="F75" s="40">
        <f>ROUNDDOWN(F26/$D75*1000,0)</f>
        <v>2264492</v>
      </c>
      <c r="G75" s="40">
        <f>SUM(E75:F75)</f>
        <v>4528984</v>
      </c>
      <c r="H75" s="11">
        <f>H26</f>
        <v>31250</v>
      </c>
      <c r="I75" s="13">
        <f>H75/$C$20</f>
        <v>0.25</v>
      </c>
      <c r="J75" s="9"/>
      <c r="K75" s="9"/>
      <c r="L75" s="9"/>
      <c r="M75" s="9"/>
      <c r="N75" s="9"/>
    </row>
    <row r="76" spans="2:14" ht="30" customHeight="1">
      <c r="B76" s="19" t="s">
        <v>103</v>
      </c>
      <c r="C76" s="19"/>
      <c r="D76" s="19"/>
      <c r="E76" s="19"/>
      <c r="F76" s="19"/>
      <c r="G76" s="19"/>
      <c r="H76" s="20">
        <f>SUM(H75:H75)</f>
        <v>31250</v>
      </c>
      <c r="I76" s="19"/>
      <c r="J76" s="19"/>
      <c r="K76" s="19"/>
      <c r="L76" s="19"/>
      <c r="M76" s="19"/>
      <c r="N76" s="19"/>
    </row>
    <row r="77" spans="2:14" ht="24.95" customHeight="1">
      <c r="B77" s="47" t="s">
        <v>46</v>
      </c>
      <c r="C77" s="47"/>
      <c r="D77" s="47"/>
      <c r="E77" s="47"/>
      <c r="F77" s="47"/>
      <c r="G77" s="47"/>
      <c r="H77" s="47"/>
      <c r="I77" s="47"/>
      <c r="J77" s="47"/>
      <c r="K77" s="47"/>
      <c r="L77" s="47"/>
      <c r="M77" s="47"/>
      <c r="N77" s="47"/>
    </row>
    <row r="78" spans="2:14" ht="38.1" customHeight="1">
      <c r="B78" s="10" t="str">
        <f>Tarifas!B38</f>
        <v>Gaming</v>
      </c>
      <c r="C78" s="10" t="str">
        <f>Tarifas!C38</f>
        <v>Admazing Video Reward</v>
      </c>
      <c r="D78" s="36">
        <f>Tarifas!E38</f>
        <v>0.115</v>
      </c>
      <c r="E78" s="40">
        <f>ROUNDDOWN(E27/$D78*1,0)</f>
        <v>81521</v>
      </c>
      <c r="F78" s="40">
        <f>ROUNDDOWN(F27/$D78*1,0)</f>
        <v>81521</v>
      </c>
      <c r="G78" s="40">
        <f>SUM(E78:F78)</f>
        <v>163042</v>
      </c>
      <c r="H78" s="11">
        <f>H27</f>
        <v>18750.02</v>
      </c>
      <c r="I78" s="13">
        <f>H78/$C$20</f>
        <v>0.15000015999999999</v>
      </c>
      <c r="J78" s="9"/>
      <c r="K78" s="9"/>
      <c r="L78" s="9"/>
      <c r="M78" s="9"/>
      <c r="N78" s="9"/>
    </row>
    <row r="79" spans="2:14" ht="30" customHeight="1">
      <c r="B79" s="19" t="s">
        <v>104</v>
      </c>
      <c r="C79" s="19"/>
      <c r="D79" s="19"/>
      <c r="E79" s="19"/>
      <c r="F79" s="19"/>
      <c r="G79" s="19"/>
      <c r="H79" s="20">
        <f>SUM(H78:H78)</f>
        <v>18750.02</v>
      </c>
      <c r="I79" s="19"/>
      <c r="J79" s="19"/>
      <c r="K79" s="19"/>
      <c r="L79" s="19"/>
      <c r="M79" s="19"/>
      <c r="N79" s="19"/>
    </row>
    <row r="81" spans="2:14" ht="24.95" customHeight="1">
      <c r="B81" s="47" t="s">
        <v>136</v>
      </c>
      <c r="C81" s="47"/>
      <c r="D81" s="47"/>
      <c r="E81" s="47"/>
      <c r="F81" s="47"/>
      <c r="G81" s="47"/>
      <c r="H81" s="47"/>
      <c r="I81" s="47"/>
      <c r="J81" s="47"/>
      <c r="K81" s="47"/>
      <c r="L81" s="47"/>
      <c r="M81" s="47"/>
      <c r="N81" s="47"/>
    </row>
    <row r="82" spans="2:14" ht="42" customHeight="1">
      <c r="B82" s="6" t="s">
        <v>38</v>
      </c>
      <c r="C82" s="7" t="s">
        <v>137</v>
      </c>
      <c r="D82" s="7" t="s">
        <v>138</v>
      </c>
      <c r="E82" s="7" t="s">
        <v>139</v>
      </c>
      <c r="F82" s="50" t="s">
        <v>140</v>
      </c>
      <c r="G82" s="51"/>
      <c r="H82" s="51"/>
      <c r="I82" s="51"/>
      <c r="J82" s="51"/>
      <c r="K82" s="51"/>
      <c r="L82" s="51"/>
      <c r="M82" s="51"/>
      <c r="N82" s="51"/>
    </row>
    <row r="83" spans="2:14" ht="60" customHeight="1">
      <c r="B83" s="10" t="s">
        <v>8</v>
      </c>
      <c r="C83" s="10" t="s">
        <v>141</v>
      </c>
      <c r="D83" s="10" t="s">
        <v>141</v>
      </c>
      <c r="E83" s="43" t="s">
        <v>141</v>
      </c>
      <c r="F83" s="48" t="s">
        <v>142</v>
      </c>
      <c r="G83" s="48"/>
      <c r="H83" s="48"/>
      <c r="I83" s="48"/>
      <c r="J83" s="48"/>
      <c r="K83" s="48"/>
      <c r="L83" s="48"/>
      <c r="M83" s="48"/>
      <c r="N83" s="48"/>
    </row>
    <row r="84" spans="2:14" ht="60" customHeight="1">
      <c r="B84" s="15" t="s">
        <v>41</v>
      </c>
      <c r="C84" s="15" t="s">
        <v>141</v>
      </c>
      <c r="D84" s="15" t="s">
        <v>141</v>
      </c>
      <c r="E84" s="44" t="s">
        <v>141</v>
      </c>
      <c r="F84" s="49" t="s">
        <v>143</v>
      </c>
      <c r="G84" s="49"/>
      <c r="H84" s="49"/>
      <c r="I84" s="49"/>
      <c r="J84" s="49"/>
      <c r="K84" s="49"/>
      <c r="L84" s="49"/>
      <c r="M84" s="49"/>
      <c r="N84" s="49"/>
    </row>
    <row r="85" spans="2:14" ht="60" customHeight="1">
      <c r="B85" s="10" t="s">
        <v>43</v>
      </c>
      <c r="C85" s="10" t="s">
        <v>141</v>
      </c>
      <c r="D85" s="10" t="s">
        <v>141</v>
      </c>
      <c r="E85" s="43">
        <f>G25</f>
        <v>4526478</v>
      </c>
      <c r="F85" s="48" t="s">
        <v>144</v>
      </c>
      <c r="G85" s="48"/>
      <c r="H85" s="48"/>
      <c r="I85" s="48"/>
      <c r="J85" s="48"/>
      <c r="K85" s="48"/>
      <c r="L85" s="48"/>
      <c r="M85" s="48"/>
      <c r="N85" s="48"/>
    </row>
    <row r="86" spans="2:14" ht="60" customHeight="1">
      <c r="B86" s="15" t="s">
        <v>44</v>
      </c>
      <c r="C86" s="15" t="s">
        <v>141</v>
      </c>
      <c r="D86" s="15" t="s">
        <v>141</v>
      </c>
      <c r="E86" s="44">
        <f>G26</f>
        <v>4528984</v>
      </c>
      <c r="F86" s="49" t="s">
        <v>144</v>
      </c>
      <c r="G86" s="49"/>
      <c r="H86" s="49"/>
      <c r="I86" s="49"/>
      <c r="J86" s="49"/>
      <c r="K86" s="49"/>
      <c r="L86" s="49"/>
      <c r="M86" s="49"/>
      <c r="N86" s="49"/>
    </row>
    <row r="87" spans="2:14" ht="60" customHeight="1">
      <c r="B87" s="10" t="s">
        <v>46</v>
      </c>
      <c r="C87" s="10" t="s">
        <v>141</v>
      </c>
      <c r="D87" s="10" t="s">
        <v>141</v>
      </c>
      <c r="E87" s="43" t="s">
        <v>141</v>
      </c>
      <c r="F87" s="48" t="s">
        <v>197</v>
      </c>
      <c r="G87" s="48"/>
      <c r="H87" s="48"/>
      <c r="I87" s="48"/>
      <c r="J87" s="48"/>
      <c r="K87" s="48"/>
      <c r="L87" s="48"/>
      <c r="M87" s="48"/>
      <c r="N87" s="48"/>
    </row>
  </sheetData>
  <mergeCells count="23">
    <mergeCell ref="B2:O2"/>
    <mergeCell ref="B4:O4"/>
    <mergeCell ref="B8:O8"/>
    <mergeCell ref="B16:N16"/>
    <mergeCell ref="B17:N17"/>
    <mergeCell ref="B18:N18"/>
    <mergeCell ref="B19:N19"/>
    <mergeCell ref="B30:N30"/>
    <mergeCell ref="B31:N31"/>
    <mergeCell ref="B33:N33"/>
    <mergeCell ref="B41:N41"/>
    <mergeCell ref="B43:N43"/>
    <mergeCell ref="B51:N51"/>
    <mergeCell ref="B71:N71"/>
    <mergeCell ref="B74:N74"/>
    <mergeCell ref="F85:N85"/>
    <mergeCell ref="F86:N86"/>
    <mergeCell ref="F87:N87"/>
    <mergeCell ref="B77:N77"/>
    <mergeCell ref="B81:N81"/>
    <mergeCell ref="F82:N82"/>
    <mergeCell ref="F83:N83"/>
    <mergeCell ref="F84:N8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sheetPr>
  <dimension ref="A1:N47"/>
  <sheetViews>
    <sheetView showGridLines="0" topLeftCell="A10" workbookViewId="0">
      <selection activeCell="B5" sqref="B5"/>
    </sheetView>
  </sheetViews>
  <sheetFormatPr defaultColWidth="8.875" defaultRowHeight="15"/>
  <cols>
    <col min="1" max="1" width="3" style="2" customWidth="1"/>
    <col min="2" max="2" width="32" style="2" customWidth="1"/>
    <col min="3" max="3" width="28" style="2" customWidth="1"/>
    <col min="4" max="4" width="19" style="2" customWidth="1"/>
    <col min="5" max="14" width="16" style="2" customWidth="1"/>
    <col min="15" max="16384" width="8.875" style="2"/>
  </cols>
  <sheetData>
    <row r="1" spans="1:14">
      <c r="A1" s="1"/>
      <c r="B1" s="1"/>
      <c r="C1" s="1"/>
      <c r="D1" s="1"/>
      <c r="E1" s="1"/>
      <c r="F1" s="1"/>
      <c r="G1" s="1"/>
      <c r="H1" s="1"/>
      <c r="I1" s="1"/>
      <c r="J1" s="1"/>
      <c r="K1" s="1"/>
      <c r="L1" s="1"/>
      <c r="M1" s="1"/>
      <c r="N1" s="1"/>
    </row>
    <row r="2" spans="1:14" ht="32.1" customHeight="1">
      <c r="A2" s="1"/>
      <c r="B2" s="46" t="s">
        <v>208</v>
      </c>
      <c r="C2" s="46"/>
      <c r="D2" s="46"/>
      <c r="E2" s="46"/>
      <c r="F2" s="46"/>
      <c r="G2" s="46"/>
      <c r="H2" s="46"/>
      <c r="I2" s="46"/>
      <c r="J2" s="46"/>
      <c r="K2" s="46"/>
      <c r="L2" s="46"/>
      <c r="M2" s="46"/>
      <c r="N2" s="46"/>
    </row>
    <row r="3" spans="1:14" ht="3.95" customHeight="1">
      <c r="A3" s="1"/>
      <c r="B3" s="3"/>
      <c r="C3" s="3"/>
      <c r="D3" s="3"/>
      <c r="E3" s="3"/>
      <c r="F3" s="3"/>
      <c r="G3" s="3"/>
      <c r="H3" s="3"/>
      <c r="I3" s="3"/>
      <c r="J3" s="3"/>
      <c r="K3" s="3"/>
      <c r="L3" s="3"/>
      <c r="M3" s="3"/>
      <c r="N3" s="3"/>
    </row>
    <row r="4" spans="1:14">
      <c r="A4" s="1"/>
      <c r="B4" s="1" t="s">
        <v>1</v>
      </c>
      <c r="C4" s="1"/>
      <c r="D4" s="1"/>
      <c r="E4" s="1"/>
      <c r="F4" s="1"/>
      <c r="G4" s="1"/>
      <c r="H4" s="1"/>
      <c r="I4" s="1"/>
      <c r="J4" s="1"/>
      <c r="K4" s="1"/>
      <c r="L4" s="1"/>
      <c r="M4" s="1"/>
      <c r="N4" s="1"/>
    </row>
    <row r="5" spans="1:14">
      <c r="A5" s="1"/>
      <c r="B5" s="1" t="s">
        <v>209</v>
      </c>
      <c r="C5" s="29">
        <v>0.15</v>
      </c>
      <c r="D5" s="1"/>
      <c r="E5" s="1"/>
      <c r="F5" s="1"/>
      <c r="G5" s="1"/>
      <c r="H5" s="1"/>
      <c r="I5" s="1"/>
      <c r="J5" s="1"/>
      <c r="K5" s="1"/>
      <c r="L5" s="1"/>
      <c r="M5" s="1"/>
      <c r="N5" s="1"/>
    </row>
    <row r="6" spans="1:14" ht="30" customHeight="1">
      <c r="A6" s="1"/>
      <c r="B6" s="45" t="s">
        <v>210</v>
      </c>
      <c r="C6" s="45"/>
      <c r="D6" s="45"/>
      <c r="E6" s="45"/>
      <c r="F6" s="45"/>
      <c r="G6" s="45"/>
      <c r="H6" s="45"/>
      <c r="I6" s="45"/>
      <c r="J6" s="45"/>
      <c r="K6" s="45"/>
      <c r="L6" s="45"/>
      <c r="M6" s="45"/>
      <c r="N6" s="45"/>
    </row>
    <row r="7" spans="1:14">
      <c r="A7" s="1"/>
      <c r="B7" s="1"/>
      <c r="C7" s="1"/>
      <c r="D7" s="1"/>
      <c r="E7" s="1"/>
      <c r="F7" s="1"/>
      <c r="G7" s="1"/>
      <c r="H7" s="1"/>
      <c r="I7" s="1"/>
      <c r="J7" s="1"/>
      <c r="K7" s="1"/>
      <c r="L7" s="1"/>
      <c r="M7" s="1"/>
      <c r="N7" s="1"/>
    </row>
    <row r="8" spans="1:14" ht="42" customHeight="1">
      <c r="A8" s="1"/>
      <c r="B8" s="6" t="s">
        <v>4</v>
      </c>
      <c r="C8" s="7" t="s">
        <v>5</v>
      </c>
      <c r="D8" s="7" t="s">
        <v>211</v>
      </c>
      <c r="E8" s="7" t="s">
        <v>212</v>
      </c>
      <c r="F8" s="7" t="s">
        <v>213</v>
      </c>
      <c r="G8" s="7" t="s">
        <v>214</v>
      </c>
      <c r="H8" s="7" t="s">
        <v>215</v>
      </c>
      <c r="I8" s="7" t="s">
        <v>216</v>
      </c>
      <c r="J8" s="8" t="s">
        <v>217</v>
      </c>
      <c r="K8" s="1"/>
      <c r="L8" s="1"/>
      <c r="M8" s="1"/>
      <c r="N8" s="1"/>
    </row>
    <row r="9" spans="1:14" ht="30.95" customHeight="1">
      <c r="B9" s="9" t="s">
        <v>14</v>
      </c>
      <c r="C9" s="9" t="s">
        <v>15</v>
      </c>
      <c r="D9" s="23">
        <v>1625000</v>
      </c>
      <c r="E9" s="23">
        <v>570000</v>
      </c>
      <c r="F9" s="23"/>
      <c r="G9" s="23">
        <v>18700</v>
      </c>
      <c r="H9" s="23">
        <v>2213700</v>
      </c>
      <c r="I9" s="11">
        <f t="shared" ref="I9:I17" si="0">SUM(D9:G9)</f>
        <v>2213700</v>
      </c>
      <c r="J9" s="11">
        <f t="shared" ref="J9:J17" si="1">ROUND(H9-I9,2)</f>
        <v>0</v>
      </c>
    </row>
    <row r="10" spans="1:14" ht="30.95" customHeight="1">
      <c r="B10" s="14" t="s">
        <v>16</v>
      </c>
      <c r="C10" s="14" t="s">
        <v>17</v>
      </c>
      <c r="D10" s="24">
        <v>195000</v>
      </c>
      <c r="E10" s="24">
        <v>300000</v>
      </c>
      <c r="F10" s="24"/>
      <c r="G10" s="24">
        <v>18500</v>
      </c>
      <c r="H10" s="24">
        <v>513500</v>
      </c>
      <c r="I10" s="16">
        <f t="shared" si="0"/>
        <v>513500</v>
      </c>
      <c r="J10" s="16">
        <f t="shared" si="1"/>
        <v>0</v>
      </c>
    </row>
    <row r="11" spans="1:14" ht="30.95" customHeight="1">
      <c r="B11" s="9" t="s">
        <v>18</v>
      </c>
      <c r="C11" s="9" t="s">
        <v>19</v>
      </c>
      <c r="D11" s="23">
        <v>330000</v>
      </c>
      <c r="E11" s="23">
        <v>85000</v>
      </c>
      <c r="F11" s="23">
        <v>125000</v>
      </c>
      <c r="G11" s="23">
        <v>18500</v>
      </c>
      <c r="H11" s="23">
        <v>558500</v>
      </c>
      <c r="I11" s="11">
        <f t="shared" si="0"/>
        <v>558500</v>
      </c>
      <c r="J11" s="11">
        <f t="shared" si="1"/>
        <v>0</v>
      </c>
    </row>
    <row r="12" spans="1:14" ht="30.95" customHeight="1">
      <c r="B12" s="14" t="s">
        <v>20</v>
      </c>
      <c r="C12" s="14" t="s">
        <v>21</v>
      </c>
      <c r="D12" s="24">
        <v>625000</v>
      </c>
      <c r="E12" s="24">
        <v>40000</v>
      </c>
      <c r="F12" s="24">
        <v>266000</v>
      </c>
      <c r="G12" s="24">
        <v>34200</v>
      </c>
      <c r="H12" s="24">
        <v>965200</v>
      </c>
      <c r="I12" s="16">
        <f t="shared" si="0"/>
        <v>965200</v>
      </c>
      <c r="J12" s="16">
        <f t="shared" si="1"/>
        <v>0</v>
      </c>
    </row>
    <row r="13" spans="1:14" ht="30.95" customHeight="1">
      <c r="B13" s="9" t="s">
        <v>22</v>
      </c>
      <c r="C13" s="9" t="s">
        <v>23</v>
      </c>
      <c r="D13" s="23">
        <v>400000</v>
      </c>
      <c r="E13" s="23">
        <v>40000</v>
      </c>
      <c r="F13" s="23">
        <v>200000</v>
      </c>
      <c r="G13" s="23">
        <v>60000</v>
      </c>
      <c r="H13" s="23">
        <v>817200</v>
      </c>
      <c r="I13" s="11">
        <f t="shared" si="0"/>
        <v>700000</v>
      </c>
      <c r="J13" s="11">
        <f t="shared" si="1"/>
        <v>117200</v>
      </c>
    </row>
    <row r="14" spans="1:14" ht="30.95" customHeight="1">
      <c r="B14" s="14" t="s">
        <v>24</v>
      </c>
      <c r="C14" s="14" t="s">
        <v>25</v>
      </c>
      <c r="D14" s="24">
        <v>198000</v>
      </c>
      <c r="E14" s="24">
        <v>0</v>
      </c>
      <c r="F14" s="24">
        <v>125000</v>
      </c>
      <c r="G14" s="24">
        <v>30000</v>
      </c>
      <c r="H14" s="24">
        <v>353000</v>
      </c>
      <c r="I14" s="16">
        <f t="shared" si="0"/>
        <v>353000</v>
      </c>
      <c r="J14" s="16">
        <f t="shared" si="1"/>
        <v>0</v>
      </c>
    </row>
    <row r="15" spans="1:14" ht="30.95" customHeight="1">
      <c r="B15" s="9" t="s">
        <v>26</v>
      </c>
      <c r="C15" s="9" t="s">
        <v>27</v>
      </c>
      <c r="D15" s="23">
        <v>125000</v>
      </c>
      <c r="E15" s="23">
        <v>0</v>
      </c>
      <c r="F15" s="23"/>
      <c r="G15" s="23">
        <v>15200</v>
      </c>
      <c r="H15" s="23">
        <v>140200</v>
      </c>
      <c r="I15" s="11">
        <f t="shared" si="0"/>
        <v>140200</v>
      </c>
      <c r="J15" s="11">
        <f t="shared" si="1"/>
        <v>0</v>
      </c>
    </row>
    <row r="16" spans="1:14" ht="30.95" customHeight="1">
      <c r="B16" s="14" t="s">
        <v>28</v>
      </c>
      <c r="C16" s="14" t="s">
        <v>29</v>
      </c>
      <c r="D16" s="24">
        <v>140000</v>
      </c>
      <c r="E16" s="24">
        <v>40000</v>
      </c>
      <c r="F16" s="24"/>
      <c r="G16" s="24">
        <v>28700</v>
      </c>
      <c r="H16" s="24">
        <v>208700</v>
      </c>
      <c r="I16" s="16">
        <f t="shared" si="0"/>
        <v>208700</v>
      </c>
      <c r="J16" s="16">
        <f t="shared" si="1"/>
        <v>0</v>
      </c>
    </row>
    <row r="17" spans="2:14" ht="30.95" customHeight="1">
      <c r="B17" s="9" t="s">
        <v>30</v>
      </c>
      <c r="C17" s="9" t="s">
        <v>31</v>
      </c>
      <c r="D17" s="23">
        <v>125000</v>
      </c>
      <c r="E17" s="23">
        <v>0</v>
      </c>
      <c r="F17" s="23"/>
      <c r="G17" s="23">
        <v>30000</v>
      </c>
      <c r="H17" s="23">
        <v>155000</v>
      </c>
      <c r="I17" s="11">
        <f t="shared" si="0"/>
        <v>155000</v>
      </c>
      <c r="J17" s="11">
        <f t="shared" si="1"/>
        <v>0</v>
      </c>
    </row>
    <row r="18" spans="2:14" ht="30" customHeight="1">
      <c r="B18" s="19" t="s">
        <v>48</v>
      </c>
      <c r="C18" s="19"/>
      <c r="D18" s="20">
        <f t="shared" ref="D18:J18" si="2">SUM(D9:D17)</f>
        <v>3763000</v>
      </c>
      <c r="E18" s="20">
        <f t="shared" si="2"/>
        <v>1075000</v>
      </c>
      <c r="F18" s="20">
        <f t="shared" si="2"/>
        <v>716000</v>
      </c>
      <c r="G18" s="20">
        <f t="shared" si="2"/>
        <v>253800</v>
      </c>
      <c r="H18" s="20">
        <f t="shared" si="2"/>
        <v>5925000</v>
      </c>
      <c r="I18" s="20">
        <f t="shared" si="2"/>
        <v>5807800</v>
      </c>
      <c r="J18" s="20">
        <f t="shared" si="2"/>
        <v>117200</v>
      </c>
    </row>
    <row r="20" spans="2:14" ht="32.1" customHeight="1">
      <c r="B20" s="45" t="s">
        <v>218</v>
      </c>
      <c r="C20" s="45"/>
      <c r="D20" s="45"/>
      <c r="E20" s="45"/>
      <c r="F20" s="45"/>
      <c r="G20" s="45"/>
      <c r="H20" s="45"/>
      <c r="I20" s="45"/>
      <c r="J20" s="45"/>
      <c r="K20" s="45"/>
      <c r="L20" s="45"/>
      <c r="M20" s="45"/>
      <c r="N20" s="45"/>
    </row>
    <row r="21" spans="2:14" ht="27.95" customHeight="1">
      <c r="B21" s="45" t="s">
        <v>219</v>
      </c>
      <c r="C21" s="45"/>
      <c r="D21" s="45"/>
      <c r="E21" s="45"/>
      <c r="F21" s="45"/>
      <c r="G21" s="45"/>
      <c r="H21" s="45"/>
      <c r="I21" s="45"/>
      <c r="J21" s="45"/>
      <c r="K21" s="45"/>
      <c r="L21" s="45"/>
      <c r="M21" s="45"/>
      <c r="N21" s="45"/>
    </row>
    <row r="22" spans="2:14" ht="27.95" customHeight="1">
      <c r="B22" s="45" t="s">
        <v>34</v>
      </c>
      <c r="C22" s="45"/>
      <c r="D22" s="45"/>
      <c r="E22" s="45"/>
      <c r="F22" s="45"/>
      <c r="G22" s="45"/>
      <c r="H22" s="45"/>
      <c r="I22" s="45"/>
      <c r="J22" s="45"/>
      <c r="K22" s="45"/>
      <c r="L22" s="45"/>
      <c r="M22" s="45"/>
      <c r="N22" s="45"/>
    </row>
    <row r="25" spans="2:14" ht="42" customHeight="1">
      <c r="B25" s="6" t="s">
        <v>37</v>
      </c>
      <c r="C25" s="7" t="s">
        <v>220</v>
      </c>
      <c r="D25" s="7" t="s">
        <v>221</v>
      </c>
      <c r="E25" s="7" t="s">
        <v>222</v>
      </c>
      <c r="F25" s="50" t="s">
        <v>223</v>
      </c>
      <c r="G25" s="51"/>
      <c r="H25" s="51"/>
      <c r="I25" s="51"/>
      <c r="J25" s="51"/>
      <c r="K25" s="51"/>
      <c r="L25" s="51"/>
      <c r="M25" s="51"/>
      <c r="N25" s="51"/>
    </row>
    <row r="26" spans="2:14" ht="51.95" customHeight="1">
      <c r="B26" s="10" t="s">
        <v>14</v>
      </c>
      <c r="C26" s="10" t="s">
        <v>15</v>
      </c>
      <c r="D26" s="30">
        <v>1625000</v>
      </c>
      <c r="E26" s="10" t="s">
        <v>224</v>
      </c>
      <c r="F26" s="48" t="s">
        <v>60</v>
      </c>
      <c r="G26" s="48"/>
      <c r="H26" s="48"/>
      <c r="I26" s="48"/>
      <c r="J26" s="48"/>
      <c r="K26" s="48"/>
      <c r="L26" s="48"/>
      <c r="M26" s="48"/>
      <c r="N26" s="48"/>
    </row>
    <row r="27" spans="2:14" ht="51.95" customHeight="1">
      <c r="B27" s="15" t="s">
        <v>16</v>
      </c>
      <c r="C27" s="15" t="s">
        <v>17</v>
      </c>
      <c r="D27" s="31">
        <v>195000</v>
      </c>
      <c r="E27" s="15" t="s">
        <v>224</v>
      </c>
      <c r="F27" s="49" t="s">
        <v>110</v>
      </c>
      <c r="G27" s="49"/>
      <c r="H27" s="49"/>
      <c r="I27" s="49"/>
      <c r="J27" s="49"/>
      <c r="K27" s="49"/>
      <c r="L27" s="49"/>
      <c r="M27" s="49"/>
      <c r="N27" s="49"/>
    </row>
    <row r="28" spans="2:14" ht="51.95" customHeight="1">
      <c r="B28" s="10" t="s">
        <v>18</v>
      </c>
      <c r="C28" s="10" t="s">
        <v>112</v>
      </c>
      <c r="D28" s="30">
        <v>260000</v>
      </c>
      <c r="E28" s="10" t="s">
        <v>225</v>
      </c>
      <c r="F28" s="48" t="s">
        <v>117</v>
      </c>
      <c r="G28" s="48"/>
      <c r="H28" s="48"/>
      <c r="I28" s="48"/>
      <c r="J28" s="48"/>
      <c r="K28" s="48"/>
      <c r="L28" s="48"/>
      <c r="M28" s="48"/>
      <c r="N28" s="48"/>
    </row>
    <row r="29" spans="2:14" ht="51.95" customHeight="1">
      <c r="B29" s="15" t="s">
        <v>18</v>
      </c>
      <c r="C29" s="15" t="s">
        <v>113</v>
      </c>
      <c r="D29" s="31">
        <v>70000</v>
      </c>
      <c r="E29" s="15" t="s">
        <v>225</v>
      </c>
      <c r="F29" s="49" t="s">
        <v>127</v>
      </c>
      <c r="G29" s="49"/>
      <c r="H29" s="49"/>
      <c r="I29" s="49"/>
      <c r="J29" s="49"/>
      <c r="K29" s="49"/>
      <c r="L29" s="49"/>
      <c r="M29" s="49"/>
      <c r="N29" s="49"/>
    </row>
    <row r="30" spans="2:14" ht="51.95" customHeight="1">
      <c r="B30" s="10" t="s">
        <v>20</v>
      </c>
      <c r="C30" s="10" t="s">
        <v>129</v>
      </c>
      <c r="D30" s="30">
        <v>375000</v>
      </c>
      <c r="E30" s="10" t="s">
        <v>226</v>
      </c>
      <c r="F30" s="48" t="s">
        <v>134</v>
      </c>
      <c r="G30" s="48"/>
      <c r="H30" s="48"/>
      <c r="I30" s="48"/>
      <c r="J30" s="48"/>
      <c r="K30" s="48"/>
      <c r="L30" s="48"/>
      <c r="M30" s="48"/>
      <c r="N30" s="48"/>
    </row>
    <row r="31" spans="2:14" ht="51.95" customHeight="1">
      <c r="B31" s="15" t="s">
        <v>20</v>
      </c>
      <c r="C31" s="15" t="s">
        <v>130</v>
      </c>
      <c r="D31" s="31">
        <v>125000</v>
      </c>
      <c r="E31" s="15" t="s">
        <v>227</v>
      </c>
      <c r="F31" s="49" t="s">
        <v>148</v>
      </c>
      <c r="G31" s="49"/>
      <c r="H31" s="49"/>
      <c r="I31" s="49"/>
      <c r="J31" s="49"/>
      <c r="K31" s="49"/>
      <c r="L31" s="49"/>
      <c r="M31" s="49"/>
      <c r="N31" s="49"/>
    </row>
    <row r="32" spans="2:14" ht="51.95" customHeight="1">
      <c r="B32" s="10" t="s">
        <v>20</v>
      </c>
      <c r="C32" s="10" t="s">
        <v>131</v>
      </c>
      <c r="D32" s="30">
        <v>125000</v>
      </c>
      <c r="E32" s="10" t="s">
        <v>227</v>
      </c>
      <c r="F32" s="48" t="s">
        <v>155</v>
      </c>
      <c r="G32" s="48"/>
      <c r="H32" s="48"/>
      <c r="I32" s="48"/>
      <c r="J32" s="48"/>
      <c r="K32" s="48"/>
      <c r="L32" s="48"/>
      <c r="M32" s="48"/>
      <c r="N32" s="48"/>
    </row>
    <row r="33" spans="2:14" ht="51.95" customHeight="1">
      <c r="B33" s="15" t="s">
        <v>22</v>
      </c>
      <c r="C33" s="15" t="s">
        <v>157</v>
      </c>
      <c r="D33" s="31">
        <v>100000</v>
      </c>
      <c r="E33" s="15" t="s">
        <v>228</v>
      </c>
      <c r="F33" s="49" t="s">
        <v>229</v>
      </c>
      <c r="G33" s="49"/>
      <c r="H33" s="49"/>
      <c r="I33" s="49"/>
      <c r="J33" s="49"/>
      <c r="K33" s="49"/>
      <c r="L33" s="49"/>
      <c r="M33" s="49"/>
      <c r="N33" s="49"/>
    </row>
    <row r="34" spans="2:14" ht="51.95" customHeight="1">
      <c r="B34" s="10" t="s">
        <v>22</v>
      </c>
      <c r="C34" s="10" t="s">
        <v>158</v>
      </c>
      <c r="D34" s="30">
        <v>100000</v>
      </c>
      <c r="E34" s="10" t="s">
        <v>228</v>
      </c>
      <c r="F34" s="48" t="s">
        <v>171</v>
      </c>
      <c r="G34" s="48"/>
      <c r="H34" s="48"/>
      <c r="I34" s="48"/>
      <c r="J34" s="48"/>
      <c r="K34" s="48"/>
      <c r="L34" s="48"/>
      <c r="M34" s="48"/>
      <c r="N34" s="48"/>
    </row>
    <row r="35" spans="2:14" ht="51.95" customHeight="1">
      <c r="B35" s="15" t="s">
        <v>22</v>
      </c>
      <c r="C35" s="15" t="s">
        <v>159</v>
      </c>
      <c r="D35" s="31">
        <v>100000</v>
      </c>
      <c r="E35" s="15" t="s">
        <v>228</v>
      </c>
      <c r="F35" s="49" t="s">
        <v>171</v>
      </c>
      <c r="G35" s="49"/>
      <c r="H35" s="49"/>
      <c r="I35" s="49"/>
      <c r="J35" s="49"/>
      <c r="K35" s="49"/>
      <c r="L35" s="49"/>
      <c r="M35" s="49"/>
      <c r="N35" s="49"/>
    </row>
    <row r="36" spans="2:14" ht="51.95" customHeight="1">
      <c r="B36" s="10" t="s">
        <v>22</v>
      </c>
      <c r="C36" s="10" t="s">
        <v>160</v>
      </c>
      <c r="D36" s="30">
        <v>100000</v>
      </c>
      <c r="E36" s="10" t="s">
        <v>230</v>
      </c>
      <c r="F36" s="48" t="s">
        <v>178</v>
      </c>
      <c r="G36" s="48"/>
      <c r="H36" s="48"/>
      <c r="I36" s="48"/>
      <c r="J36" s="48"/>
      <c r="K36" s="48"/>
      <c r="L36" s="48"/>
      <c r="M36" s="48"/>
      <c r="N36" s="48"/>
    </row>
    <row r="37" spans="2:14" ht="51.95" customHeight="1">
      <c r="B37" s="15" t="s">
        <v>24</v>
      </c>
      <c r="C37" s="15" t="s">
        <v>181</v>
      </c>
      <c r="D37" s="31">
        <v>128000</v>
      </c>
      <c r="E37" s="15" t="s">
        <v>231</v>
      </c>
      <c r="F37" s="49" t="s">
        <v>186</v>
      </c>
      <c r="G37" s="49"/>
      <c r="H37" s="49"/>
      <c r="I37" s="49"/>
      <c r="J37" s="49"/>
      <c r="K37" s="49"/>
      <c r="L37" s="49"/>
      <c r="M37" s="49"/>
      <c r="N37" s="49"/>
    </row>
    <row r="38" spans="2:14" ht="51.95" customHeight="1">
      <c r="B38" s="10" t="s">
        <v>24</v>
      </c>
      <c r="C38" s="10" t="s">
        <v>182</v>
      </c>
      <c r="D38" s="30">
        <v>70000</v>
      </c>
      <c r="E38" s="10" t="s">
        <v>231</v>
      </c>
      <c r="F38" s="48" t="s">
        <v>190</v>
      </c>
      <c r="G38" s="48"/>
      <c r="H38" s="48"/>
      <c r="I38" s="48"/>
      <c r="J38" s="48"/>
      <c r="K38" s="48"/>
      <c r="L38" s="48"/>
      <c r="M38" s="48"/>
      <c r="N38" s="48"/>
    </row>
    <row r="39" spans="2:14" ht="51.95" customHeight="1">
      <c r="B39" s="15" t="s">
        <v>26</v>
      </c>
      <c r="C39" s="15" t="s">
        <v>27</v>
      </c>
      <c r="D39" s="31">
        <v>125000</v>
      </c>
      <c r="E39" s="15" t="s">
        <v>232</v>
      </c>
      <c r="F39" s="49" t="s">
        <v>195</v>
      </c>
      <c r="G39" s="49"/>
      <c r="H39" s="49"/>
      <c r="I39" s="49"/>
      <c r="J39" s="49"/>
      <c r="K39" s="49"/>
      <c r="L39" s="49"/>
      <c r="M39" s="49"/>
      <c r="N39" s="49"/>
    </row>
    <row r="40" spans="2:14" ht="51.95" customHeight="1">
      <c r="B40" s="10" t="s">
        <v>28</v>
      </c>
      <c r="C40" s="10" t="s">
        <v>199</v>
      </c>
      <c r="D40" s="30">
        <v>140000</v>
      </c>
      <c r="E40" s="10" t="s">
        <v>227</v>
      </c>
      <c r="F40" s="48" t="s">
        <v>203</v>
      </c>
      <c r="G40" s="48"/>
      <c r="H40" s="48"/>
      <c r="I40" s="48"/>
      <c r="J40" s="48"/>
      <c r="K40" s="48"/>
      <c r="L40" s="48"/>
      <c r="M40" s="48"/>
      <c r="N40" s="48"/>
    </row>
    <row r="41" spans="2:14" ht="51.95" customHeight="1">
      <c r="B41" s="15" t="s">
        <v>30</v>
      </c>
      <c r="C41" s="15" t="s">
        <v>31</v>
      </c>
      <c r="D41" s="31">
        <v>125000</v>
      </c>
      <c r="E41" s="15" t="s">
        <v>233</v>
      </c>
      <c r="F41" s="49" t="s">
        <v>207</v>
      </c>
      <c r="G41" s="49"/>
      <c r="H41" s="49"/>
      <c r="I41" s="49"/>
      <c r="J41" s="49"/>
      <c r="K41" s="49"/>
      <c r="L41" s="49"/>
      <c r="M41" s="49"/>
      <c r="N41" s="49"/>
    </row>
    <row r="44" spans="2:14" ht="27.95" customHeight="1">
      <c r="B44" s="45" t="s">
        <v>234</v>
      </c>
      <c r="C44" s="45"/>
      <c r="D44" s="45"/>
      <c r="E44" s="45"/>
      <c r="F44" s="45"/>
      <c r="G44" s="45"/>
      <c r="H44" s="45"/>
      <c r="I44" s="45"/>
      <c r="J44" s="45"/>
      <c r="K44" s="45"/>
      <c r="L44" s="45"/>
      <c r="M44" s="45"/>
      <c r="N44" s="45"/>
    </row>
    <row r="45" spans="2:14" ht="27.95" customHeight="1">
      <c r="B45" s="45" t="s">
        <v>235</v>
      </c>
      <c r="C45" s="45"/>
      <c r="D45" s="45"/>
      <c r="E45" s="45"/>
      <c r="F45" s="45"/>
      <c r="G45" s="45"/>
      <c r="H45" s="45"/>
      <c r="I45" s="45"/>
      <c r="J45" s="45"/>
      <c r="K45" s="45"/>
      <c r="L45" s="45"/>
      <c r="M45" s="45"/>
      <c r="N45" s="45"/>
    </row>
    <row r="46" spans="2:14" ht="27.95" customHeight="1">
      <c r="B46" s="45" t="s">
        <v>236</v>
      </c>
      <c r="C46" s="45"/>
      <c r="D46" s="45"/>
      <c r="E46" s="45"/>
      <c r="F46" s="45"/>
      <c r="G46" s="45"/>
      <c r="H46" s="45"/>
      <c r="I46" s="45"/>
      <c r="J46" s="45"/>
      <c r="K46" s="45"/>
      <c r="L46" s="45"/>
      <c r="M46" s="45"/>
      <c r="N46" s="45"/>
    </row>
    <row r="47" spans="2:14" ht="27.95" customHeight="1">
      <c r="B47" s="45" t="s">
        <v>237</v>
      </c>
      <c r="C47" s="45"/>
      <c r="D47" s="45"/>
      <c r="E47" s="45"/>
      <c r="F47" s="45"/>
      <c r="G47" s="45"/>
      <c r="H47" s="45"/>
      <c r="I47" s="45"/>
      <c r="J47" s="45"/>
      <c r="K47" s="45"/>
      <c r="L47" s="45"/>
      <c r="M47" s="45"/>
      <c r="N47" s="45"/>
    </row>
  </sheetData>
  <mergeCells count="26">
    <mergeCell ref="B2:N2"/>
    <mergeCell ref="B6:N6"/>
    <mergeCell ref="B20:N20"/>
    <mergeCell ref="B21:N21"/>
    <mergeCell ref="B22:N22"/>
    <mergeCell ref="F25:N25"/>
    <mergeCell ref="F26:N26"/>
    <mergeCell ref="F27:N27"/>
    <mergeCell ref="F28:N28"/>
    <mergeCell ref="F29:N29"/>
    <mergeCell ref="F30:N30"/>
    <mergeCell ref="F31:N31"/>
    <mergeCell ref="F32:N32"/>
    <mergeCell ref="F33:N33"/>
    <mergeCell ref="F34:N34"/>
    <mergeCell ref="F35:N35"/>
    <mergeCell ref="F36:N36"/>
    <mergeCell ref="F37:N37"/>
    <mergeCell ref="F38:N38"/>
    <mergeCell ref="F39:N39"/>
    <mergeCell ref="B47:N47"/>
    <mergeCell ref="F40:N40"/>
    <mergeCell ref="F41:N41"/>
    <mergeCell ref="B44:N44"/>
    <mergeCell ref="B45:N45"/>
    <mergeCell ref="B46:N46"/>
  </mergeCells>
  <conditionalFormatting sqref="J9:J17">
    <cfRule type="cellIs" dxfId="0" priority="1" operator="notEqual">
      <formula>0</formula>
    </cfRule>
  </conditionalFormatting>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192667"/>
  </sheetPr>
  <dimension ref="A1:J45"/>
  <sheetViews>
    <sheetView showGridLines="0" workbookViewId="0">
      <selection activeCell="B24" sqref="B24:N24"/>
    </sheetView>
  </sheetViews>
  <sheetFormatPr defaultColWidth="8.875" defaultRowHeight="15"/>
  <cols>
    <col min="1" max="1" width="3" style="2" customWidth="1"/>
    <col min="2" max="2" width="32" style="2" customWidth="1"/>
    <col min="3" max="3" width="40" style="2" customWidth="1"/>
    <col min="4" max="4" width="19" style="2" customWidth="1"/>
    <col min="5" max="10" width="16" style="2" customWidth="1"/>
    <col min="11" max="16384" width="8.875" style="2"/>
  </cols>
  <sheetData>
    <row r="1" spans="1:10">
      <c r="A1" s="1"/>
      <c r="B1" s="1"/>
      <c r="C1" s="1"/>
      <c r="D1" s="1"/>
      <c r="E1" s="1"/>
      <c r="F1" s="1"/>
      <c r="G1" s="1"/>
      <c r="H1" s="1"/>
      <c r="I1" s="1"/>
      <c r="J1" s="1"/>
    </row>
    <row r="2" spans="1:10" ht="32.1" customHeight="1">
      <c r="A2" s="1"/>
      <c r="B2" s="46" t="s">
        <v>238</v>
      </c>
      <c r="C2" s="46"/>
      <c r="D2" s="46"/>
      <c r="E2" s="46"/>
      <c r="F2" s="46"/>
      <c r="G2" s="46"/>
      <c r="H2" s="46"/>
      <c r="I2" s="46"/>
      <c r="J2" s="46"/>
    </row>
    <row r="3" spans="1:10" ht="3.95" customHeight="1">
      <c r="A3" s="1"/>
      <c r="B3" s="3"/>
      <c r="C3" s="3"/>
      <c r="D3" s="3"/>
      <c r="E3" s="3"/>
      <c r="F3" s="3"/>
      <c r="G3" s="3"/>
      <c r="H3" s="3"/>
      <c r="I3" s="3"/>
      <c r="J3" s="3"/>
    </row>
    <row r="4" spans="1:10">
      <c r="A4" s="1"/>
      <c r="B4" s="1" t="s">
        <v>1</v>
      </c>
      <c r="C4" s="1"/>
      <c r="D4" s="1"/>
      <c r="E4" s="1"/>
      <c r="F4" s="1"/>
      <c r="G4" s="1"/>
      <c r="H4" s="1"/>
      <c r="I4" s="1"/>
      <c r="J4" s="1"/>
    </row>
    <row r="5" spans="1:10" ht="33.950000000000003" customHeight="1">
      <c r="A5" s="1"/>
      <c r="B5" s="45" t="s">
        <v>239</v>
      </c>
      <c r="C5" s="45"/>
      <c r="D5" s="45"/>
      <c r="E5" s="45"/>
      <c r="F5" s="45"/>
      <c r="G5" s="45"/>
      <c r="H5" s="45"/>
      <c r="I5" s="45"/>
      <c r="J5" s="45"/>
    </row>
    <row r="6" spans="1:10" ht="42" customHeight="1">
      <c r="A6" s="1"/>
      <c r="B6" s="6" t="s">
        <v>240</v>
      </c>
      <c r="C6" s="7" t="s">
        <v>95</v>
      </c>
      <c r="D6" s="7" t="s">
        <v>241</v>
      </c>
      <c r="E6" s="7" t="s">
        <v>242</v>
      </c>
      <c r="F6" s="8" t="s">
        <v>243</v>
      </c>
      <c r="G6" s="1"/>
      <c r="H6" s="1"/>
      <c r="I6" s="1"/>
      <c r="J6" s="1"/>
    </row>
    <row r="7" spans="1:10" ht="33.950000000000003" customHeight="1">
      <c r="A7" s="1"/>
      <c r="B7" s="9" t="s">
        <v>244</v>
      </c>
      <c r="C7" s="10" t="s">
        <v>245</v>
      </c>
      <c r="D7" s="10" t="s">
        <v>246</v>
      </c>
      <c r="E7" s="25">
        <v>782</v>
      </c>
      <c r="F7" s="26">
        <v>1</v>
      </c>
      <c r="G7" s="1"/>
      <c r="H7" s="1"/>
      <c r="I7" s="1"/>
      <c r="J7" s="1"/>
    </row>
    <row r="8" spans="1:10" ht="33.950000000000003" customHeight="1">
      <c r="A8" s="1"/>
      <c r="B8" s="14" t="s">
        <v>244</v>
      </c>
      <c r="C8" s="15" t="s">
        <v>247</v>
      </c>
      <c r="D8" s="15" t="s">
        <v>246</v>
      </c>
      <c r="E8" s="27">
        <v>2541.5</v>
      </c>
      <c r="F8" s="28">
        <v>1</v>
      </c>
      <c r="G8" s="1"/>
      <c r="H8" s="1"/>
      <c r="I8" s="1"/>
      <c r="J8" s="1"/>
    </row>
    <row r="9" spans="1:10" ht="33.950000000000003" customHeight="1">
      <c r="B9" s="9" t="s">
        <v>248</v>
      </c>
      <c r="C9" s="10" t="s">
        <v>249</v>
      </c>
      <c r="D9" s="10" t="s">
        <v>246</v>
      </c>
      <c r="E9" s="25">
        <v>977.5</v>
      </c>
      <c r="F9" s="26">
        <v>1</v>
      </c>
    </row>
    <row r="10" spans="1:10" ht="33.950000000000003" customHeight="1">
      <c r="B10" s="14" t="s">
        <v>248</v>
      </c>
      <c r="C10" s="15" t="s">
        <v>250</v>
      </c>
      <c r="D10" s="15" t="s">
        <v>246</v>
      </c>
      <c r="E10" s="27">
        <v>3519</v>
      </c>
      <c r="F10" s="28">
        <v>1</v>
      </c>
    </row>
    <row r="11" spans="1:10" ht="33.950000000000003" customHeight="1">
      <c r="B11" s="9" t="s">
        <v>251</v>
      </c>
      <c r="C11" s="10" t="s">
        <v>252</v>
      </c>
      <c r="D11" s="10" t="s">
        <v>246</v>
      </c>
      <c r="E11" s="25">
        <v>586.5</v>
      </c>
      <c r="F11" s="26">
        <v>1</v>
      </c>
    </row>
    <row r="12" spans="1:10" ht="33.950000000000003" customHeight="1">
      <c r="B12" s="14" t="s">
        <v>251</v>
      </c>
      <c r="C12" s="15" t="s">
        <v>253</v>
      </c>
      <c r="D12" s="15" t="s">
        <v>246</v>
      </c>
      <c r="E12" s="27">
        <v>1661.75</v>
      </c>
      <c r="F12" s="28">
        <v>1</v>
      </c>
    </row>
    <row r="13" spans="1:10" ht="33.950000000000003" customHeight="1">
      <c r="B13" s="9" t="s">
        <v>254</v>
      </c>
      <c r="C13" s="10" t="s">
        <v>255</v>
      </c>
      <c r="D13" s="10" t="s">
        <v>256</v>
      </c>
      <c r="E13" s="25">
        <v>36.799999999999997</v>
      </c>
      <c r="F13" s="26">
        <v>1</v>
      </c>
    </row>
    <row r="14" spans="1:10" ht="33.950000000000003" customHeight="1">
      <c r="B14" s="14" t="s">
        <v>257</v>
      </c>
      <c r="C14" s="15" t="s">
        <v>255</v>
      </c>
      <c r="D14" s="15" t="s">
        <v>256</v>
      </c>
      <c r="E14" s="27">
        <v>36.799999999999997</v>
      </c>
      <c r="F14" s="28">
        <v>1</v>
      </c>
    </row>
    <row r="15" spans="1:10" ht="33.950000000000003" customHeight="1">
      <c r="B15" s="9" t="s">
        <v>258</v>
      </c>
      <c r="C15" s="10" t="s">
        <v>255</v>
      </c>
      <c r="D15" s="10" t="s">
        <v>256</v>
      </c>
      <c r="E15" s="25">
        <v>55.2</v>
      </c>
      <c r="F15" s="26">
        <v>1</v>
      </c>
    </row>
    <row r="16" spans="1:10" ht="33.950000000000003" customHeight="1">
      <c r="B16" s="14" t="s">
        <v>259</v>
      </c>
      <c r="C16" s="15" t="s">
        <v>255</v>
      </c>
      <c r="D16" s="15" t="s">
        <v>256</v>
      </c>
      <c r="E16" s="27">
        <v>36.799999999999997</v>
      </c>
      <c r="F16" s="28">
        <v>1</v>
      </c>
    </row>
    <row r="17" spans="2:6" ht="33.950000000000003" customHeight="1">
      <c r="B17" s="9" t="s">
        <v>260</v>
      </c>
      <c r="C17" s="10" t="s">
        <v>255</v>
      </c>
      <c r="D17" s="10" t="s">
        <v>256</v>
      </c>
      <c r="E17" s="25">
        <v>28.52</v>
      </c>
      <c r="F17" s="26">
        <v>1</v>
      </c>
    </row>
    <row r="18" spans="2:6" ht="33.950000000000003" customHeight="1">
      <c r="B18" s="14" t="s">
        <v>261</v>
      </c>
      <c r="C18" s="15" t="s">
        <v>255</v>
      </c>
      <c r="D18" s="15" t="s">
        <v>256</v>
      </c>
      <c r="E18" s="27">
        <v>28.52</v>
      </c>
      <c r="F18" s="28">
        <v>1</v>
      </c>
    </row>
    <row r="19" spans="2:6" ht="33.950000000000003" customHeight="1">
      <c r="B19" s="9" t="s">
        <v>262</v>
      </c>
      <c r="C19" s="10" t="s">
        <v>255</v>
      </c>
      <c r="D19" s="10" t="s">
        <v>256</v>
      </c>
      <c r="E19" s="25">
        <v>45.08</v>
      </c>
      <c r="F19" s="26">
        <v>1</v>
      </c>
    </row>
    <row r="20" spans="2:6" ht="33.950000000000003" customHeight="1">
      <c r="B20" s="14" t="s">
        <v>263</v>
      </c>
      <c r="C20" s="15" t="s">
        <v>255</v>
      </c>
      <c r="D20" s="15" t="s">
        <v>256</v>
      </c>
      <c r="E20" s="27">
        <v>28.52</v>
      </c>
      <c r="F20" s="28">
        <v>1</v>
      </c>
    </row>
    <row r="21" spans="2:6" ht="33.950000000000003" customHeight="1">
      <c r="B21" s="9" t="s">
        <v>264</v>
      </c>
      <c r="C21" s="10" t="s">
        <v>255</v>
      </c>
      <c r="D21" s="10" t="s">
        <v>256</v>
      </c>
      <c r="E21" s="25">
        <v>28.52</v>
      </c>
      <c r="F21" s="26">
        <v>1</v>
      </c>
    </row>
    <row r="22" spans="2:6" ht="33.950000000000003" customHeight="1">
      <c r="B22" s="14" t="s">
        <v>34</v>
      </c>
      <c r="C22" s="15" t="s">
        <v>255</v>
      </c>
      <c r="D22" s="15" t="s">
        <v>256</v>
      </c>
      <c r="E22" s="27">
        <v>28.52</v>
      </c>
      <c r="F22" s="28">
        <v>1</v>
      </c>
    </row>
    <row r="23" spans="2:6" ht="33.950000000000003" customHeight="1">
      <c r="B23" s="9" t="s">
        <v>265</v>
      </c>
      <c r="C23" s="10" t="s">
        <v>255</v>
      </c>
      <c r="D23" s="10" t="s">
        <v>256</v>
      </c>
      <c r="E23" s="25">
        <v>28.52</v>
      </c>
      <c r="F23" s="26">
        <v>1</v>
      </c>
    </row>
    <row r="24" spans="2:6" ht="33.950000000000003" customHeight="1">
      <c r="B24" s="14" t="s">
        <v>266</v>
      </c>
      <c r="C24" s="15" t="s">
        <v>255</v>
      </c>
      <c r="D24" s="15" t="s">
        <v>256</v>
      </c>
      <c r="E24" s="27">
        <v>28.52</v>
      </c>
      <c r="F24" s="28">
        <v>1</v>
      </c>
    </row>
    <row r="25" spans="2:6" ht="33.950000000000003" customHeight="1">
      <c r="B25" s="9" t="s">
        <v>37</v>
      </c>
      <c r="C25" s="10" t="s">
        <v>255</v>
      </c>
      <c r="D25" s="10" t="s">
        <v>256</v>
      </c>
      <c r="E25" s="25">
        <v>28.52</v>
      </c>
      <c r="F25" s="26">
        <v>1</v>
      </c>
    </row>
    <row r="26" spans="2:6" ht="33.950000000000003" customHeight="1">
      <c r="B26" s="14" t="s">
        <v>267</v>
      </c>
      <c r="C26" s="15" t="s">
        <v>255</v>
      </c>
      <c r="D26" s="15" t="s">
        <v>256</v>
      </c>
      <c r="E26" s="27">
        <v>28.52</v>
      </c>
      <c r="F26" s="28">
        <v>1</v>
      </c>
    </row>
    <row r="27" spans="2:6" ht="33.950000000000003" customHeight="1">
      <c r="B27" s="9" t="s">
        <v>268</v>
      </c>
      <c r="C27" s="10" t="s">
        <v>255</v>
      </c>
      <c r="D27" s="10" t="s">
        <v>256</v>
      </c>
      <c r="E27" s="25">
        <v>69</v>
      </c>
      <c r="F27" s="26">
        <v>1</v>
      </c>
    </row>
    <row r="28" spans="2:6" ht="33.950000000000003" customHeight="1">
      <c r="B28" s="14" t="s">
        <v>269</v>
      </c>
      <c r="C28" s="15" t="s">
        <v>255</v>
      </c>
      <c r="D28" s="15" t="s">
        <v>256</v>
      </c>
      <c r="E28" s="27">
        <v>27.6</v>
      </c>
      <c r="F28" s="28">
        <v>1</v>
      </c>
    </row>
    <row r="29" spans="2:6" ht="33.950000000000003" customHeight="1">
      <c r="B29" s="9" t="s">
        <v>270</v>
      </c>
      <c r="C29" s="10" t="s">
        <v>255</v>
      </c>
      <c r="D29" s="10" t="s">
        <v>256</v>
      </c>
      <c r="E29" s="25">
        <v>50.6</v>
      </c>
      <c r="F29" s="26">
        <v>1</v>
      </c>
    </row>
    <row r="30" spans="2:6" ht="33.950000000000003" customHeight="1">
      <c r="B30" s="14" t="s">
        <v>271</v>
      </c>
      <c r="C30" s="15" t="s">
        <v>255</v>
      </c>
      <c r="D30" s="15" t="s">
        <v>256</v>
      </c>
      <c r="E30" s="27">
        <v>50.6</v>
      </c>
      <c r="F30" s="28">
        <v>1</v>
      </c>
    </row>
    <row r="31" spans="2:6" ht="33.950000000000003" customHeight="1">
      <c r="B31" s="9" t="s">
        <v>272</v>
      </c>
      <c r="C31" s="10" t="s">
        <v>273</v>
      </c>
      <c r="D31" s="10" t="s">
        <v>274</v>
      </c>
      <c r="E31" s="25">
        <v>5980</v>
      </c>
      <c r="F31" s="26">
        <v>10</v>
      </c>
    </row>
    <row r="32" spans="2:6" ht="33.950000000000003" customHeight="1">
      <c r="B32" s="14" t="s">
        <v>275</v>
      </c>
      <c r="C32" s="15" t="s">
        <v>276</v>
      </c>
      <c r="D32" s="15" t="s">
        <v>274</v>
      </c>
      <c r="E32" s="27">
        <v>4025</v>
      </c>
      <c r="F32" s="28">
        <v>7</v>
      </c>
    </row>
    <row r="33" spans="2:10" ht="33.950000000000003" customHeight="1">
      <c r="B33" s="9" t="s">
        <v>277</v>
      </c>
      <c r="C33" s="10" t="s">
        <v>278</v>
      </c>
      <c r="D33" s="10" t="s">
        <v>274</v>
      </c>
      <c r="E33" s="25">
        <v>2300</v>
      </c>
      <c r="F33" s="26">
        <v>5</v>
      </c>
    </row>
    <row r="34" spans="2:10" ht="33.950000000000003" customHeight="1">
      <c r="B34" s="14" t="s">
        <v>279</v>
      </c>
      <c r="C34" s="15" t="s">
        <v>280</v>
      </c>
      <c r="D34" s="15" t="s">
        <v>274</v>
      </c>
      <c r="E34" s="27">
        <v>4140</v>
      </c>
      <c r="F34" s="28">
        <v>6</v>
      </c>
    </row>
    <row r="35" spans="2:10" ht="33.950000000000003" customHeight="1">
      <c r="B35" s="9" t="s">
        <v>43</v>
      </c>
      <c r="C35" s="10" t="s">
        <v>89</v>
      </c>
      <c r="D35" s="10" t="s">
        <v>281</v>
      </c>
      <c r="E35" s="25">
        <v>8.625</v>
      </c>
      <c r="F35" s="26">
        <v>1000</v>
      </c>
    </row>
    <row r="36" spans="2:10" ht="33.950000000000003" customHeight="1">
      <c r="B36" s="14" t="s">
        <v>44</v>
      </c>
      <c r="C36" s="15" t="s">
        <v>90</v>
      </c>
      <c r="D36" s="15" t="s">
        <v>281</v>
      </c>
      <c r="E36" s="27">
        <v>6.9</v>
      </c>
      <c r="F36" s="28">
        <v>1000</v>
      </c>
    </row>
    <row r="37" spans="2:10" ht="33.950000000000003" customHeight="1">
      <c r="B37" s="9" t="s">
        <v>45</v>
      </c>
      <c r="C37" s="10" t="s">
        <v>149</v>
      </c>
      <c r="D37" s="10" t="s">
        <v>281</v>
      </c>
      <c r="E37" s="25">
        <v>9.1999999999999993</v>
      </c>
      <c r="F37" s="26">
        <v>1000</v>
      </c>
    </row>
    <row r="38" spans="2:10" ht="33.950000000000003" customHeight="1">
      <c r="B38" s="14" t="s">
        <v>46</v>
      </c>
      <c r="C38" s="15" t="s">
        <v>91</v>
      </c>
      <c r="D38" s="15" t="s">
        <v>282</v>
      </c>
      <c r="E38" s="27">
        <v>0.115</v>
      </c>
      <c r="F38" s="28">
        <v>1</v>
      </c>
    </row>
    <row r="39" spans="2:10" ht="33.950000000000003" customHeight="1">
      <c r="B39" s="9" t="s">
        <v>47</v>
      </c>
      <c r="C39" s="10" t="s">
        <v>283</v>
      </c>
      <c r="D39" s="10" t="s">
        <v>284</v>
      </c>
      <c r="E39" s="25">
        <v>2875</v>
      </c>
      <c r="F39" s="26">
        <v>3</v>
      </c>
    </row>
    <row r="41" spans="2:10" ht="30" customHeight="1">
      <c r="B41" s="45" t="s">
        <v>285</v>
      </c>
      <c r="C41" s="45"/>
      <c r="D41" s="45"/>
      <c r="E41" s="45"/>
      <c r="F41" s="45"/>
      <c r="G41" s="45"/>
      <c r="H41" s="45"/>
      <c r="I41" s="45"/>
      <c r="J41" s="45"/>
    </row>
    <row r="42" spans="2:10" ht="30" customHeight="1">
      <c r="B42" s="45" t="s">
        <v>286</v>
      </c>
      <c r="C42" s="45"/>
      <c r="D42" s="45"/>
      <c r="E42" s="45"/>
      <c r="F42" s="45"/>
      <c r="G42" s="45"/>
      <c r="H42" s="45"/>
      <c r="I42" s="45"/>
      <c r="J42" s="45"/>
    </row>
    <row r="43" spans="2:10" ht="30" customHeight="1">
      <c r="B43" s="45" t="s">
        <v>287</v>
      </c>
      <c r="C43" s="45"/>
      <c r="D43" s="45"/>
      <c r="E43" s="45"/>
      <c r="F43" s="45"/>
      <c r="G43" s="45"/>
      <c r="H43" s="45"/>
      <c r="I43" s="45"/>
      <c r="J43" s="45"/>
    </row>
    <row r="44" spans="2:10" ht="32.1" customHeight="1">
      <c r="B44" s="45" t="s">
        <v>288</v>
      </c>
      <c r="C44" s="45"/>
      <c r="D44" s="45"/>
      <c r="E44" s="45"/>
      <c r="F44" s="45"/>
      <c r="G44" s="45"/>
      <c r="H44" s="45"/>
      <c r="I44" s="45"/>
      <c r="J44" s="45"/>
    </row>
    <row r="45" spans="2:10" ht="30" customHeight="1">
      <c r="B45" s="45" t="s">
        <v>289</v>
      </c>
      <c r="C45" s="45"/>
      <c r="D45" s="45"/>
      <c r="E45" s="45"/>
      <c r="F45" s="45"/>
      <c r="G45" s="45"/>
      <c r="H45" s="45"/>
      <c r="I45" s="45"/>
      <c r="J45" s="45"/>
    </row>
  </sheetData>
  <mergeCells count="7">
    <mergeCell ref="B44:J44"/>
    <mergeCell ref="B45:J45"/>
    <mergeCell ref="B2:J2"/>
    <mergeCell ref="B5:J5"/>
    <mergeCell ref="B41:J41"/>
    <mergeCell ref="B42:J42"/>
    <mergeCell ref="B43:J43"/>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192667"/>
  </sheetPr>
  <dimension ref="A1:M148"/>
  <sheetViews>
    <sheetView showGridLines="0" workbookViewId="0">
      <pane ySplit="7" topLeftCell="A8" activePane="bottomLeft" state="frozen"/>
      <selection pane="bottomLeft" activeCell="B25" sqref="B25:N25"/>
      <selection activeCell="B25" sqref="B25:N25"/>
    </sheetView>
  </sheetViews>
  <sheetFormatPr defaultColWidth="8.875" defaultRowHeight="15"/>
  <cols>
    <col min="1" max="1" width="3" style="2" customWidth="1"/>
    <col min="2" max="2" width="32" style="2" customWidth="1"/>
    <col min="3" max="3" width="28" style="2" customWidth="1"/>
    <col min="4" max="4" width="23" style="2" customWidth="1"/>
    <col min="5" max="5" width="16" style="2" customWidth="1"/>
    <col min="6" max="6" width="30" style="2" customWidth="1"/>
    <col min="7" max="13" width="16" style="2" customWidth="1"/>
    <col min="14" max="16384" width="8.875" style="2"/>
  </cols>
  <sheetData>
    <row r="1" spans="1:13">
      <c r="A1" s="1"/>
      <c r="B1" s="1"/>
      <c r="C1" s="1"/>
      <c r="D1" s="1"/>
      <c r="E1" s="1"/>
      <c r="F1" s="1"/>
      <c r="G1" s="1"/>
      <c r="H1" s="1"/>
      <c r="I1" s="1"/>
      <c r="J1" s="1"/>
      <c r="K1" s="1"/>
      <c r="L1" s="1"/>
      <c r="M1" s="1"/>
    </row>
    <row r="2" spans="1:13" ht="32.1" customHeight="1">
      <c r="A2" s="1"/>
      <c r="B2" s="46" t="s">
        <v>290</v>
      </c>
      <c r="C2" s="46"/>
      <c r="D2" s="46"/>
      <c r="E2" s="46"/>
      <c r="F2" s="46"/>
      <c r="G2" s="46"/>
      <c r="H2" s="46"/>
      <c r="I2" s="46"/>
      <c r="J2" s="46"/>
      <c r="K2" s="46"/>
      <c r="L2" s="46"/>
      <c r="M2" s="46"/>
    </row>
    <row r="3" spans="1:13" ht="3.95" customHeight="1">
      <c r="A3" s="1"/>
      <c r="B3" s="3"/>
      <c r="C3" s="3"/>
      <c r="D3" s="3"/>
      <c r="E3" s="3"/>
      <c r="F3" s="3"/>
      <c r="G3" s="3"/>
      <c r="H3" s="3"/>
      <c r="I3" s="3"/>
      <c r="J3" s="3"/>
      <c r="K3" s="3"/>
      <c r="L3" s="3"/>
      <c r="M3" s="3"/>
    </row>
    <row r="4" spans="1:13">
      <c r="A4" s="1"/>
      <c r="B4" s="1" t="s">
        <v>1</v>
      </c>
      <c r="C4" s="1"/>
      <c r="D4" s="1"/>
      <c r="E4" s="1"/>
      <c r="F4" s="1"/>
      <c r="G4" s="1"/>
      <c r="H4" s="1"/>
      <c r="I4" s="1"/>
      <c r="J4" s="1"/>
      <c r="K4" s="1"/>
      <c r="L4" s="1"/>
      <c r="M4" s="1"/>
    </row>
    <row r="5" spans="1:13" ht="30" customHeight="1">
      <c r="A5" s="1"/>
      <c r="B5" s="45" t="s">
        <v>291</v>
      </c>
      <c r="C5" s="45"/>
      <c r="D5" s="45"/>
      <c r="E5" s="45"/>
      <c r="F5" s="45"/>
      <c r="G5" s="45"/>
      <c r="H5" s="45"/>
      <c r="I5" s="45"/>
      <c r="J5" s="45"/>
      <c r="K5" s="45"/>
      <c r="L5" s="45"/>
      <c r="M5" s="45"/>
    </row>
    <row r="6" spans="1:13">
      <c r="A6" s="1"/>
      <c r="B6" s="1"/>
      <c r="C6" s="1"/>
      <c r="D6" s="1"/>
      <c r="E6" s="1"/>
      <c r="F6" s="1"/>
      <c r="G6" s="1"/>
      <c r="H6" s="1"/>
      <c r="I6" s="1"/>
      <c r="J6" s="1"/>
      <c r="K6" s="1"/>
      <c r="L6" s="1"/>
      <c r="M6" s="1"/>
    </row>
    <row r="7" spans="1:13" ht="42" customHeight="1">
      <c r="A7" s="1"/>
      <c r="B7" s="6" t="s">
        <v>292</v>
      </c>
      <c r="C7" s="7" t="s">
        <v>38</v>
      </c>
      <c r="D7" s="7" t="s">
        <v>293</v>
      </c>
      <c r="E7" s="7" t="s">
        <v>294</v>
      </c>
      <c r="F7" s="8" t="s">
        <v>295</v>
      </c>
      <c r="G7" s="1"/>
      <c r="H7" s="1"/>
      <c r="I7" s="1"/>
      <c r="J7" s="1"/>
      <c r="K7" s="1"/>
      <c r="L7" s="1"/>
      <c r="M7" s="1"/>
    </row>
    <row r="8" spans="1:13" ht="30.95" customHeight="1">
      <c r="A8" s="1"/>
      <c r="B8" s="9" t="s">
        <v>224</v>
      </c>
      <c r="C8" s="9" t="s">
        <v>8</v>
      </c>
      <c r="D8" s="9" t="s">
        <v>65</v>
      </c>
      <c r="E8" s="23">
        <v>27895.279999999999</v>
      </c>
      <c r="F8" s="9" t="s">
        <v>296</v>
      </c>
      <c r="G8" s="1"/>
      <c r="H8" s="1"/>
      <c r="I8" s="1"/>
      <c r="J8" s="1"/>
      <c r="K8" s="1"/>
      <c r="L8" s="1"/>
      <c r="M8" s="1"/>
    </row>
    <row r="9" spans="1:13" ht="30.95" customHeight="1">
      <c r="B9" s="14" t="s">
        <v>224</v>
      </c>
      <c r="C9" s="14" t="s">
        <v>8</v>
      </c>
      <c r="D9" s="14" t="s">
        <v>66</v>
      </c>
      <c r="E9" s="24">
        <v>27895.279999999999</v>
      </c>
      <c r="F9" s="14" t="s">
        <v>297</v>
      </c>
    </row>
    <row r="10" spans="1:13" ht="30.95" customHeight="1">
      <c r="B10" s="9" t="s">
        <v>224</v>
      </c>
      <c r="C10" s="9" t="s">
        <v>8</v>
      </c>
      <c r="D10" s="9" t="s">
        <v>67</v>
      </c>
      <c r="E10" s="23">
        <v>46492.13</v>
      </c>
      <c r="F10" s="9" t="s">
        <v>298</v>
      </c>
    </row>
    <row r="11" spans="1:13" ht="30.95" customHeight="1">
      <c r="B11" s="14" t="s">
        <v>224</v>
      </c>
      <c r="C11" s="14" t="s">
        <v>8</v>
      </c>
      <c r="D11" s="14" t="s">
        <v>68</v>
      </c>
      <c r="E11" s="24">
        <v>37193.71</v>
      </c>
      <c r="F11" s="14" t="s">
        <v>299</v>
      </c>
    </row>
    <row r="12" spans="1:13" ht="30.95" customHeight="1">
      <c r="B12" s="9" t="s">
        <v>224</v>
      </c>
      <c r="C12" s="9" t="s">
        <v>8</v>
      </c>
      <c r="D12" s="9" t="s">
        <v>69</v>
      </c>
      <c r="E12" s="23">
        <v>37193.71</v>
      </c>
      <c r="F12" s="9" t="s">
        <v>300</v>
      </c>
    </row>
    <row r="13" spans="1:13" ht="30.95" customHeight="1">
      <c r="B13" s="14" t="s">
        <v>224</v>
      </c>
      <c r="C13" s="14" t="s">
        <v>8</v>
      </c>
      <c r="D13" s="14" t="s">
        <v>70</v>
      </c>
      <c r="E13" s="24">
        <v>37193.71</v>
      </c>
      <c r="F13" s="14" t="s">
        <v>301</v>
      </c>
    </row>
    <row r="14" spans="1:13" ht="30.95" customHeight="1">
      <c r="B14" s="9" t="s">
        <v>224</v>
      </c>
      <c r="C14" s="9" t="s">
        <v>8</v>
      </c>
      <c r="D14" s="9" t="s">
        <v>71</v>
      </c>
      <c r="E14" s="23">
        <v>37193.71</v>
      </c>
      <c r="F14" s="9" t="s">
        <v>302</v>
      </c>
    </row>
    <row r="15" spans="1:13" ht="30.95" customHeight="1">
      <c r="B15" s="14" t="s">
        <v>224</v>
      </c>
      <c r="C15" s="14" t="s">
        <v>41</v>
      </c>
      <c r="D15" s="14" t="s">
        <v>65</v>
      </c>
      <c r="E15" s="24">
        <v>6143.02</v>
      </c>
      <c r="F15" s="14" t="s">
        <v>303</v>
      </c>
    </row>
    <row r="16" spans="1:13" ht="30.95" customHeight="1">
      <c r="B16" s="9" t="s">
        <v>224</v>
      </c>
      <c r="C16" s="9" t="s">
        <v>41</v>
      </c>
      <c r="D16" s="9" t="s">
        <v>66</v>
      </c>
      <c r="E16" s="23">
        <v>6143.02</v>
      </c>
      <c r="F16" s="9" t="s">
        <v>304</v>
      </c>
    </row>
    <row r="17" spans="2:6" ht="30.95" customHeight="1">
      <c r="B17" s="14" t="s">
        <v>224</v>
      </c>
      <c r="C17" s="14" t="s">
        <v>41</v>
      </c>
      <c r="D17" s="14" t="s">
        <v>67</v>
      </c>
      <c r="E17" s="24">
        <v>18429.05</v>
      </c>
      <c r="F17" s="14" t="s">
        <v>305</v>
      </c>
    </row>
    <row r="18" spans="2:6" ht="30.95" customHeight="1">
      <c r="B18" s="9" t="s">
        <v>224</v>
      </c>
      <c r="C18" s="9" t="s">
        <v>41</v>
      </c>
      <c r="D18" s="9" t="s">
        <v>68</v>
      </c>
      <c r="E18" s="23">
        <v>12286.03</v>
      </c>
      <c r="F18" s="9" t="s">
        <v>306</v>
      </c>
    </row>
    <row r="19" spans="2:6" ht="30.95" customHeight="1">
      <c r="B19" s="14" t="s">
        <v>224</v>
      </c>
      <c r="C19" s="14" t="s">
        <v>41</v>
      </c>
      <c r="D19" s="14" t="s">
        <v>69</v>
      </c>
      <c r="E19" s="24">
        <v>12286.03</v>
      </c>
      <c r="F19" s="14" t="s">
        <v>307</v>
      </c>
    </row>
    <row r="20" spans="2:6" ht="30.95" customHeight="1">
      <c r="B20" s="9" t="s">
        <v>224</v>
      </c>
      <c r="C20" s="9" t="s">
        <v>41</v>
      </c>
      <c r="D20" s="9" t="s">
        <v>70</v>
      </c>
      <c r="E20" s="23">
        <v>12286.03</v>
      </c>
      <c r="F20" s="9" t="s">
        <v>308</v>
      </c>
    </row>
    <row r="21" spans="2:6" ht="30.95" customHeight="1">
      <c r="B21" s="14" t="s">
        <v>224</v>
      </c>
      <c r="C21" s="14" t="s">
        <v>41</v>
      </c>
      <c r="D21" s="14" t="s">
        <v>71</v>
      </c>
      <c r="E21" s="24">
        <v>12286.03</v>
      </c>
      <c r="F21" s="14" t="s">
        <v>309</v>
      </c>
    </row>
    <row r="22" spans="2:6" ht="30.95" customHeight="1">
      <c r="B22" s="9" t="s">
        <v>34</v>
      </c>
      <c r="C22" s="9" t="s">
        <v>43</v>
      </c>
      <c r="D22" s="9" t="s">
        <v>65</v>
      </c>
      <c r="E22" s="23">
        <v>20851.349999999999</v>
      </c>
      <c r="F22" s="9" t="s">
        <v>310</v>
      </c>
    </row>
    <row r="23" spans="2:6" ht="30.95" customHeight="1">
      <c r="B23" s="14" t="s">
        <v>224</v>
      </c>
      <c r="C23" s="14" t="s">
        <v>43</v>
      </c>
      <c r="D23" s="14" t="s">
        <v>66</v>
      </c>
      <c r="E23" s="24">
        <v>20851.349999999999</v>
      </c>
      <c r="F23" s="14" t="s">
        <v>311</v>
      </c>
    </row>
    <row r="24" spans="2:6" ht="30.95" customHeight="1">
      <c r="B24" s="9" t="s">
        <v>224</v>
      </c>
      <c r="C24" s="9" t="s">
        <v>43</v>
      </c>
      <c r="D24" s="9" t="s">
        <v>67</v>
      </c>
      <c r="E24" s="23">
        <v>47513.29</v>
      </c>
      <c r="F24" s="9" t="s">
        <v>312</v>
      </c>
    </row>
    <row r="25" spans="2:6" ht="30.95" customHeight="1">
      <c r="B25" s="14" t="s">
        <v>37</v>
      </c>
      <c r="C25" s="14" t="s">
        <v>43</v>
      </c>
      <c r="D25" s="14" t="s">
        <v>68</v>
      </c>
      <c r="E25" s="24">
        <v>32854.730000000003</v>
      </c>
      <c r="F25" s="14" t="s">
        <v>313</v>
      </c>
    </row>
    <row r="26" spans="2:6" ht="30.95" customHeight="1">
      <c r="B26" s="9" t="s">
        <v>224</v>
      </c>
      <c r="C26" s="9" t="s">
        <v>43</v>
      </c>
      <c r="D26" s="9" t="s">
        <v>69</v>
      </c>
      <c r="E26" s="23">
        <v>35509.910000000003</v>
      </c>
      <c r="F26" s="9" t="s">
        <v>314</v>
      </c>
    </row>
    <row r="27" spans="2:6" ht="30.95" customHeight="1">
      <c r="B27" s="14" t="s">
        <v>224</v>
      </c>
      <c r="C27" s="14" t="s">
        <v>43</v>
      </c>
      <c r="D27" s="14" t="s">
        <v>70</v>
      </c>
      <c r="E27" s="24">
        <v>35509.910000000003</v>
      </c>
      <c r="F27" s="14" t="s">
        <v>315</v>
      </c>
    </row>
    <row r="28" spans="2:6" ht="30.95" customHeight="1">
      <c r="B28" s="9" t="s">
        <v>224</v>
      </c>
      <c r="C28" s="9" t="s">
        <v>43</v>
      </c>
      <c r="D28" s="9" t="s">
        <v>71</v>
      </c>
      <c r="E28" s="23">
        <v>35509.910000000003</v>
      </c>
      <c r="F28" s="9" t="s">
        <v>316</v>
      </c>
    </row>
    <row r="29" spans="2:6" ht="30.95" customHeight="1">
      <c r="B29" s="14" t="s">
        <v>224</v>
      </c>
      <c r="C29" s="14" t="s">
        <v>44</v>
      </c>
      <c r="D29" s="14" t="s">
        <v>65</v>
      </c>
      <c r="E29" s="24">
        <v>17200</v>
      </c>
      <c r="F29" s="14" t="s">
        <v>317</v>
      </c>
    </row>
    <row r="30" spans="2:6" ht="30.95" customHeight="1">
      <c r="B30" s="9" t="s">
        <v>224</v>
      </c>
      <c r="C30" s="9" t="s">
        <v>44</v>
      </c>
      <c r="D30" s="9" t="s">
        <v>66</v>
      </c>
      <c r="E30" s="23">
        <v>17200</v>
      </c>
      <c r="F30" s="9" t="s">
        <v>318</v>
      </c>
    </row>
    <row r="31" spans="2:6" ht="30.95" customHeight="1">
      <c r="B31" s="14" t="s">
        <v>224</v>
      </c>
      <c r="C31" s="14" t="s">
        <v>44</v>
      </c>
      <c r="D31" s="14" t="s">
        <v>67</v>
      </c>
      <c r="E31" s="24">
        <v>34400</v>
      </c>
      <c r="F31" s="14" t="s">
        <v>319</v>
      </c>
    </row>
    <row r="32" spans="2:6" ht="30.95" customHeight="1">
      <c r="B32" s="9" t="s">
        <v>224</v>
      </c>
      <c r="C32" s="9" t="s">
        <v>44</v>
      </c>
      <c r="D32" s="9" t="s">
        <v>68</v>
      </c>
      <c r="E32" s="23">
        <v>25800</v>
      </c>
      <c r="F32" s="9" t="s">
        <v>320</v>
      </c>
    </row>
    <row r="33" spans="2:6" ht="30.95" customHeight="1">
      <c r="B33" s="14" t="s">
        <v>224</v>
      </c>
      <c r="C33" s="14" t="s">
        <v>44</v>
      </c>
      <c r="D33" s="14" t="s">
        <v>69</v>
      </c>
      <c r="E33" s="24">
        <v>25800</v>
      </c>
      <c r="F33" s="14" t="s">
        <v>321</v>
      </c>
    </row>
    <row r="34" spans="2:6" ht="30.95" customHeight="1">
      <c r="B34" s="9" t="s">
        <v>224</v>
      </c>
      <c r="C34" s="9" t="s">
        <v>44</v>
      </c>
      <c r="D34" s="9" t="s">
        <v>70</v>
      </c>
      <c r="E34" s="23">
        <v>25800</v>
      </c>
      <c r="F34" s="9" t="s">
        <v>322</v>
      </c>
    </row>
    <row r="35" spans="2:6" ht="30.95" customHeight="1">
      <c r="B35" s="14" t="s">
        <v>224</v>
      </c>
      <c r="C35" s="14" t="s">
        <v>44</v>
      </c>
      <c r="D35" s="14" t="s">
        <v>71</v>
      </c>
      <c r="E35" s="24">
        <v>25800</v>
      </c>
      <c r="F35" s="14" t="s">
        <v>323</v>
      </c>
    </row>
    <row r="36" spans="2:6" ht="30.95" customHeight="1">
      <c r="B36" s="9" t="s">
        <v>224</v>
      </c>
      <c r="C36" s="9" t="s">
        <v>46</v>
      </c>
      <c r="D36" s="9" t="s">
        <v>65</v>
      </c>
      <c r="E36" s="23">
        <v>8600</v>
      </c>
      <c r="F36" s="9" t="s">
        <v>324</v>
      </c>
    </row>
    <row r="37" spans="2:6" ht="30.95" customHeight="1">
      <c r="B37" s="14" t="s">
        <v>224</v>
      </c>
      <c r="C37" s="14" t="s">
        <v>46</v>
      </c>
      <c r="D37" s="14" t="s">
        <v>66</v>
      </c>
      <c r="E37" s="24">
        <v>8600</v>
      </c>
      <c r="F37" s="14" t="s">
        <v>325</v>
      </c>
    </row>
    <row r="38" spans="2:6" ht="30.95" customHeight="1">
      <c r="B38" s="9" t="s">
        <v>224</v>
      </c>
      <c r="C38" s="9" t="s">
        <v>46</v>
      </c>
      <c r="D38" s="9" t="s">
        <v>67</v>
      </c>
      <c r="E38" s="23">
        <v>17200</v>
      </c>
      <c r="F38" s="9" t="s">
        <v>326</v>
      </c>
    </row>
    <row r="39" spans="2:6" ht="30.95" customHeight="1">
      <c r="B39" s="14" t="s">
        <v>224</v>
      </c>
      <c r="C39" s="14" t="s">
        <v>46</v>
      </c>
      <c r="D39" s="14" t="s">
        <v>68</v>
      </c>
      <c r="E39" s="24">
        <v>12900</v>
      </c>
      <c r="F39" s="14" t="s">
        <v>327</v>
      </c>
    </row>
    <row r="40" spans="2:6" ht="30.95" customHeight="1">
      <c r="B40" s="9" t="s">
        <v>224</v>
      </c>
      <c r="C40" s="9" t="s">
        <v>46</v>
      </c>
      <c r="D40" s="9" t="s">
        <v>69</v>
      </c>
      <c r="E40" s="23">
        <v>12900</v>
      </c>
      <c r="F40" s="9" t="s">
        <v>328</v>
      </c>
    </row>
    <row r="41" spans="2:6" ht="30.95" customHeight="1">
      <c r="B41" s="14" t="s">
        <v>224</v>
      </c>
      <c r="C41" s="14" t="s">
        <v>46</v>
      </c>
      <c r="D41" s="14" t="s">
        <v>70</v>
      </c>
      <c r="E41" s="24">
        <v>12900</v>
      </c>
      <c r="F41" s="14" t="s">
        <v>329</v>
      </c>
    </row>
    <row r="42" spans="2:6" ht="30.95" customHeight="1">
      <c r="B42" s="9" t="s">
        <v>224</v>
      </c>
      <c r="C42" s="9" t="s">
        <v>46</v>
      </c>
      <c r="D42" s="9" t="s">
        <v>71</v>
      </c>
      <c r="E42" s="23">
        <v>12900</v>
      </c>
      <c r="F42" s="9" t="s">
        <v>330</v>
      </c>
    </row>
    <row r="43" spans="2:6" ht="30.95" customHeight="1">
      <c r="B43" s="14" t="s">
        <v>224</v>
      </c>
      <c r="C43" s="14" t="s">
        <v>47</v>
      </c>
      <c r="D43" s="14" t="s">
        <v>65</v>
      </c>
      <c r="E43" s="24">
        <v>5310.35</v>
      </c>
      <c r="F43" s="14" t="s">
        <v>331</v>
      </c>
    </row>
    <row r="44" spans="2:6" ht="30.95" customHeight="1">
      <c r="B44" s="9" t="s">
        <v>224</v>
      </c>
      <c r="C44" s="9" t="s">
        <v>47</v>
      </c>
      <c r="D44" s="9" t="s">
        <v>66</v>
      </c>
      <c r="E44" s="23">
        <v>5310.35</v>
      </c>
      <c r="F44" s="9" t="s">
        <v>332</v>
      </c>
    </row>
    <row r="45" spans="2:6" ht="30.95" customHeight="1">
      <c r="B45" s="14" t="s">
        <v>224</v>
      </c>
      <c r="C45" s="14" t="s">
        <v>47</v>
      </c>
      <c r="D45" s="14" t="s">
        <v>67</v>
      </c>
      <c r="E45" s="24">
        <v>7965.53</v>
      </c>
      <c r="F45" s="14" t="s">
        <v>333</v>
      </c>
    </row>
    <row r="46" spans="2:6" ht="30.95" customHeight="1">
      <c r="B46" s="9" t="s">
        <v>224</v>
      </c>
      <c r="C46" s="9" t="s">
        <v>47</v>
      </c>
      <c r="D46" s="9" t="s">
        <v>68</v>
      </c>
      <c r="E46" s="23">
        <v>7965.53</v>
      </c>
      <c r="F46" s="9" t="s">
        <v>334</v>
      </c>
    </row>
    <row r="47" spans="2:6" ht="30.95" customHeight="1">
      <c r="B47" s="14" t="s">
        <v>224</v>
      </c>
      <c r="C47" s="14" t="s">
        <v>47</v>
      </c>
      <c r="D47" s="14" t="s">
        <v>69</v>
      </c>
      <c r="E47" s="24">
        <v>5310.35</v>
      </c>
      <c r="F47" s="14" t="s">
        <v>335</v>
      </c>
    </row>
    <row r="48" spans="2:6" ht="30.95" customHeight="1">
      <c r="B48" s="9" t="s">
        <v>224</v>
      </c>
      <c r="C48" s="9" t="s">
        <v>47</v>
      </c>
      <c r="D48" s="9" t="s">
        <v>70</v>
      </c>
      <c r="E48" s="23">
        <v>5310.35</v>
      </c>
      <c r="F48" s="9" t="s">
        <v>336</v>
      </c>
    </row>
    <row r="49" spans="2:6" ht="30.95" customHeight="1">
      <c r="B49" s="14" t="s">
        <v>224</v>
      </c>
      <c r="C49" s="14" t="s">
        <v>47</v>
      </c>
      <c r="D49" s="14" t="s">
        <v>71</v>
      </c>
      <c r="E49" s="24">
        <v>5310.35</v>
      </c>
      <c r="F49" s="14" t="s">
        <v>337</v>
      </c>
    </row>
    <row r="50" spans="2:6" ht="30.95" customHeight="1">
      <c r="B50" s="9" t="s">
        <v>225</v>
      </c>
      <c r="C50" s="9" t="s">
        <v>8</v>
      </c>
      <c r="D50" s="9" t="s">
        <v>118</v>
      </c>
      <c r="E50" s="23">
        <v>65088.99</v>
      </c>
      <c r="F50" s="9" t="s">
        <v>338</v>
      </c>
    </row>
    <row r="51" spans="2:6" ht="30.95" customHeight="1">
      <c r="B51" s="14" t="s">
        <v>225</v>
      </c>
      <c r="C51" s="14" t="s">
        <v>8</v>
      </c>
      <c r="D51" s="14" t="s">
        <v>70</v>
      </c>
      <c r="E51" s="24">
        <v>83685.84</v>
      </c>
      <c r="F51" s="14" t="s">
        <v>339</v>
      </c>
    </row>
    <row r="52" spans="2:6" ht="30.95" customHeight="1">
      <c r="B52" s="9" t="s">
        <v>225</v>
      </c>
      <c r="C52" s="9" t="s">
        <v>8</v>
      </c>
      <c r="D52" s="9" t="s">
        <v>119</v>
      </c>
      <c r="E52" s="23">
        <v>55790.559999999998</v>
      </c>
      <c r="F52" s="9" t="s">
        <v>340</v>
      </c>
    </row>
    <row r="53" spans="2:6" ht="30.95" customHeight="1">
      <c r="B53" s="14" t="s">
        <v>225</v>
      </c>
      <c r="C53" s="14" t="s">
        <v>41</v>
      </c>
      <c r="D53" s="14" t="s">
        <v>118</v>
      </c>
      <c r="E53" s="24">
        <v>30715.08</v>
      </c>
      <c r="F53" s="14" t="s">
        <v>341</v>
      </c>
    </row>
    <row r="54" spans="2:6" ht="30.95" customHeight="1">
      <c r="B54" s="9" t="s">
        <v>225</v>
      </c>
      <c r="C54" s="9" t="s">
        <v>41</v>
      </c>
      <c r="D54" s="9" t="s">
        <v>70</v>
      </c>
      <c r="E54" s="23">
        <v>36858.089999999997</v>
      </c>
      <c r="F54" s="9" t="s">
        <v>342</v>
      </c>
    </row>
    <row r="55" spans="2:6" ht="30.95" customHeight="1">
      <c r="B55" s="14" t="s">
        <v>225</v>
      </c>
      <c r="C55" s="14" t="s">
        <v>41</v>
      </c>
      <c r="D55" s="14" t="s">
        <v>119</v>
      </c>
      <c r="E55" s="24">
        <v>30715.08</v>
      </c>
      <c r="F55" s="14" t="s">
        <v>343</v>
      </c>
    </row>
    <row r="56" spans="2:6" ht="30.95" customHeight="1">
      <c r="B56" s="9" t="s">
        <v>225</v>
      </c>
      <c r="C56" s="9" t="s">
        <v>42</v>
      </c>
      <c r="D56" s="9" t="s">
        <v>118</v>
      </c>
      <c r="E56" s="23">
        <v>30375.21</v>
      </c>
      <c r="F56" s="9" t="s">
        <v>344</v>
      </c>
    </row>
    <row r="57" spans="2:6" ht="30.95" customHeight="1">
      <c r="B57" s="14" t="s">
        <v>225</v>
      </c>
      <c r="C57" s="14" t="s">
        <v>42</v>
      </c>
      <c r="D57" s="14" t="s">
        <v>70</v>
      </c>
      <c r="E57" s="24">
        <v>30375.21</v>
      </c>
      <c r="F57" s="14" t="s">
        <v>345</v>
      </c>
    </row>
    <row r="58" spans="2:6" ht="30.95" customHeight="1">
      <c r="B58" s="9" t="s">
        <v>225</v>
      </c>
      <c r="C58" s="9" t="s">
        <v>42</v>
      </c>
      <c r="D58" s="9" t="s">
        <v>119</v>
      </c>
      <c r="E58" s="23">
        <v>30375.21</v>
      </c>
      <c r="F58" s="9" t="s">
        <v>346</v>
      </c>
    </row>
    <row r="59" spans="2:6" ht="30.95" customHeight="1">
      <c r="B59" s="14" t="s">
        <v>225</v>
      </c>
      <c r="C59" s="14" t="s">
        <v>43</v>
      </c>
      <c r="D59" s="14" t="s">
        <v>118</v>
      </c>
      <c r="E59" s="24">
        <v>49260.72</v>
      </c>
      <c r="F59" s="14" t="s">
        <v>347</v>
      </c>
    </row>
    <row r="60" spans="2:6" ht="30.95" customHeight="1">
      <c r="B60" s="9" t="s">
        <v>225</v>
      </c>
      <c r="C60" s="9" t="s">
        <v>43</v>
      </c>
      <c r="D60" s="9" t="s">
        <v>70</v>
      </c>
      <c r="E60" s="23">
        <v>83000.86</v>
      </c>
      <c r="F60" s="9" t="s">
        <v>348</v>
      </c>
    </row>
    <row r="61" spans="2:6" ht="30.95" customHeight="1">
      <c r="B61" s="14" t="s">
        <v>225</v>
      </c>
      <c r="C61" s="14" t="s">
        <v>43</v>
      </c>
      <c r="D61" s="14" t="s">
        <v>119</v>
      </c>
      <c r="E61" s="24">
        <v>58559.15</v>
      </c>
      <c r="F61" s="14" t="s">
        <v>349</v>
      </c>
    </row>
    <row r="62" spans="2:6" ht="30.95" customHeight="1">
      <c r="B62" s="9" t="s">
        <v>225</v>
      </c>
      <c r="C62" s="9" t="s">
        <v>44</v>
      </c>
      <c r="D62" s="9" t="s">
        <v>118</v>
      </c>
      <c r="E62" s="23">
        <v>30960</v>
      </c>
      <c r="F62" s="9" t="s">
        <v>350</v>
      </c>
    </row>
    <row r="63" spans="2:6" ht="30.95" customHeight="1">
      <c r="B63" s="14" t="s">
        <v>225</v>
      </c>
      <c r="C63" s="14" t="s">
        <v>44</v>
      </c>
      <c r="D63" s="14" t="s">
        <v>70</v>
      </c>
      <c r="E63" s="24">
        <v>41280</v>
      </c>
      <c r="F63" s="14" t="s">
        <v>351</v>
      </c>
    </row>
    <row r="64" spans="2:6" ht="30.95" customHeight="1">
      <c r="B64" s="9" t="s">
        <v>225</v>
      </c>
      <c r="C64" s="9" t="s">
        <v>44</v>
      </c>
      <c r="D64" s="9" t="s">
        <v>119</v>
      </c>
      <c r="E64" s="23">
        <v>30960</v>
      </c>
      <c r="F64" s="9" t="s">
        <v>352</v>
      </c>
    </row>
    <row r="65" spans="2:6" ht="30.95" customHeight="1">
      <c r="B65" s="14" t="s">
        <v>232</v>
      </c>
      <c r="C65" s="14" t="s">
        <v>8</v>
      </c>
      <c r="D65" s="14" t="s">
        <v>196</v>
      </c>
      <c r="E65" s="24">
        <v>55790.559999999998</v>
      </c>
      <c r="F65" s="14" t="s">
        <v>353</v>
      </c>
    </row>
    <row r="66" spans="2:6" ht="30.95" customHeight="1">
      <c r="B66" s="9" t="s">
        <v>232</v>
      </c>
      <c r="C66" s="9" t="s">
        <v>8</v>
      </c>
      <c r="D66" s="9" t="s">
        <v>119</v>
      </c>
      <c r="E66" s="23">
        <v>27895.279999999999</v>
      </c>
      <c r="F66" s="9" t="s">
        <v>354</v>
      </c>
    </row>
    <row r="67" spans="2:6" ht="30.95" customHeight="1">
      <c r="B67" s="14" t="s">
        <v>232</v>
      </c>
      <c r="C67" s="14" t="s">
        <v>43</v>
      </c>
      <c r="D67" s="14" t="s">
        <v>196</v>
      </c>
      <c r="E67" s="24">
        <v>157221.79999999999</v>
      </c>
      <c r="F67" s="14" t="s">
        <v>355</v>
      </c>
    </row>
    <row r="68" spans="2:6" ht="30.95" customHeight="1">
      <c r="B68" s="9" t="s">
        <v>232</v>
      </c>
      <c r="C68" s="9" t="s">
        <v>43</v>
      </c>
      <c r="D68" s="9" t="s">
        <v>119</v>
      </c>
      <c r="E68" s="23">
        <v>61878.49</v>
      </c>
      <c r="F68" s="9" t="s">
        <v>356</v>
      </c>
    </row>
    <row r="69" spans="2:6" ht="30.95" customHeight="1">
      <c r="B69" s="14" t="s">
        <v>232</v>
      </c>
      <c r="C69" s="14" t="s">
        <v>44</v>
      </c>
      <c r="D69" s="14" t="s">
        <v>196</v>
      </c>
      <c r="E69" s="24">
        <v>63210</v>
      </c>
      <c r="F69" s="14" t="s">
        <v>357</v>
      </c>
    </row>
    <row r="70" spans="2:6" ht="30.95" customHeight="1">
      <c r="B70" s="9" t="s">
        <v>232</v>
      </c>
      <c r="C70" s="9" t="s">
        <v>44</v>
      </c>
      <c r="D70" s="9" t="s">
        <v>119</v>
      </c>
      <c r="E70" s="23">
        <v>27090</v>
      </c>
      <c r="F70" s="9" t="s">
        <v>358</v>
      </c>
    </row>
    <row r="71" spans="2:6" ht="30.95" customHeight="1">
      <c r="B71" s="14" t="s">
        <v>232</v>
      </c>
      <c r="C71" s="14" t="s">
        <v>46</v>
      </c>
      <c r="D71" s="14" t="s">
        <v>196</v>
      </c>
      <c r="E71" s="24">
        <v>84280</v>
      </c>
      <c r="F71" s="14" t="s">
        <v>359</v>
      </c>
    </row>
    <row r="72" spans="2:6" ht="30.95" customHeight="1">
      <c r="B72" s="9" t="s">
        <v>232</v>
      </c>
      <c r="C72" s="9" t="s">
        <v>46</v>
      </c>
      <c r="D72" s="9" t="s">
        <v>119</v>
      </c>
      <c r="E72" s="23">
        <v>36120</v>
      </c>
      <c r="F72" s="9" t="s">
        <v>360</v>
      </c>
    </row>
    <row r="73" spans="2:6" ht="30.95" customHeight="1">
      <c r="B73" s="14" t="s">
        <v>232</v>
      </c>
      <c r="C73" s="14" t="s">
        <v>45</v>
      </c>
      <c r="D73" s="14" t="s">
        <v>196</v>
      </c>
      <c r="E73" s="24">
        <v>21070</v>
      </c>
      <c r="F73" s="14" t="s">
        <v>361</v>
      </c>
    </row>
    <row r="74" spans="2:6" ht="30.95" customHeight="1">
      <c r="B74" s="9" t="s">
        <v>232</v>
      </c>
      <c r="C74" s="9" t="s">
        <v>45</v>
      </c>
      <c r="D74" s="9" t="s">
        <v>119</v>
      </c>
      <c r="E74" s="23">
        <v>9030</v>
      </c>
      <c r="F74" s="9" t="s">
        <v>362</v>
      </c>
    </row>
    <row r="75" spans="2:6" ht="30.95" customHeight="1">
      <c r="B75" s="14" t="s">
        <v>232</v>
      </c>
      <c r="C75" s="14" t="s">
        <v>47</v>
      </c>
      <c r="D75" s="14" t="s">
        <v>196</v>
      </c>
      <c r="E75" s="24">
        <v>39827.64</v>
      </c>
      <c r="F75" s="14" t="s">
        <v>363</v>
      </c>
    </row>
    <row r="76" spans="2:6" ht="30.95" customHeight="1">
      <c r="B76" s="9" t="s">
        <v>232</v>
      </c>
      <c r="C76" s="9" t="s">
        <v>47</v>
      </c>
      <c r="D76" s="9" t="s">
        <v>119</v>
      </c>
      <c r="E76" s="23">
        <v>18586.23</v>
      </c>
      <c r="F76" s="9" t="s">
        <v>364</v>
      </c>
    </row>
    <row r="77" spans="2:6" ht="30.95" customHeight="1">
      <c r="B77" s="14" t="s">
        <v>226</v>
      </c>
      <c r="C77" s="14" t="s">
        <v>8</v>
      </c>
      <c r="D77" s="14" t="s">
        <v>66</v>
      </c>
      <c r="E77" s="24">
        <v>55790.559999999998</v>
      </c>
      <c r="F77" s="14" t="s">
        <v>365</v>
      </c>
    </row>
    <row r="78" spans="2:6" ht="30.95" customHeight="1">
      <c r="B78" s="9" t="s">
        <v>226</v>
      </c>
      <c r="C78" s="9" t="s">
        <v>8</v>
      </c>
      <c r="D78" s="9" t="s">
        <v>118</v>
      </c>
      <c r="E78" s="23">
        <v>83685.84</v>
      </c>
      <c r="F78" s="9" t="s">
        <v>366</v>
      </c>
    </row>
    <row r="79" spans="2:6" ht="30.95" customHeight="1">
      <c r="B79" s="14" t="s">
        <v>226</v>
      </c>
      <c r="C79" s="14" t="s">
        <v>8</v>
      </c>
      <c r="D79" s="14" t="s">
        <v>135</v>
      </c>
      <c r="E79" s="24">
        <v>92984.27</v>
      </c>
      <c r="F79" s="14" t="s">
        <v>367</v>
      </c>
    </row>
    <row r="80" spans="2:6" ht="30.95" customHeight="1">
      <c r="B80" s="9" t="s">
        <v>226</v>
      </c>
      <c r="C80" s="9" t="s">
        <v>41</v>
      </c>
      <c r="D80" s="9" t="s">
        <v>66</v>
      </c>
      <c r="E80" s="23">
        <v>18429.05</v>
      </c>
      <c r="F80" s="9" t="s">
        <v>368</v>
      </c>
    </row>
    <row r="81" spans="2:6" ht="30.95" customHeight="1">
      <c r="B81" s="14" t="s">
        <v>226</v>
      </c>
      <c r="C81" s="14" t="s">
        <v>41</v>
      </c>
      <c r="D81" s="14" t="s">
        <v>118</v>
      </c>
      <c r="E81" s="24">
        <v>30715.08</v>
      </c>
      <c r="F81" s="14" t="s">
        <v>369</v>
      </c>
    </row>
    <row r="82" spans="2:6" ht="30.95" customHeight="1">
      <c r="B82" s="9" t="s">
        <v>226</v>
      </c>
      <c r="C82" s="9" t="s">
        <v>41</v>
      </c>
      <c r="D82" s="9" t="s">
        <v>135</v>
      </c>
      <c r="E82" s="23">
        <v>36858.089999999997</v>
      </c>
      <c r="F82" s="9" t="s">
        <v>370</v>
      </c>
    </row>
    <row r="83" spans="2:6" ht="30.95" customHeight="1">
      <c r="B83" s="14" t="s">
        <v>226</v>
      </c>
      <c r="C83" s="14" t="s">
        <v>43</v>
      </c>
      <c r="D83" s="14" t="s">
        <v>66</v>
      </c>
      <c r="E83" s="24">
        <v>53705.39</v>
      </c>
      <c r="F83" s="14" t="s">
        <v>371</v>
      </c>
    </row>
    <row r="84" spans="2:6" ht="30.95" customHeight="1">
      <c r="B84" s="9" t="s">
        <v>226</v>
      </c>
      <c r="C84" s="9" t="s">
        <v>43</v>
      </c>
      <c r="D84" s="9" t="s">
        <v>118</v>
      </c>
      <c r="E84" s="23">
        <v>64694.080000000002</v>
      </c>
      <c r="F84" s="9" t="s">
        <v>372</v>
      </c>
    </row>
    <row r="85" spans="2:6" ht="30.95" customHeight="1">
      <c r="B85" s="14" t="s">
        <v>226</v>
      </c>
      <c r="C85" s="14" t="s">
        <v>43</v>
      </c>
      <c r="D85" s="14" t="s">
        <v>135</v>
      </c>
      <c r="E85" s="24">
        <v>74837.64</v>
      </c>
      <c r="F85" s="14" t="s">
        <v>373</v>
      </c>
    </row>
    <row r="86" spans="2:6" ht="30.95" customHeight="1">
      <c r="B86" s="9" t="s">
        <v>226</v>
      </c>
      <c r="C86" s="9" t="s">
        <v>44</v>
      </c>
      <c r="D86" s="9" t="s">
        <v>66</v>
      </c>
      <c r="E86" s="23">
        <v>22575</v>
      </c>
      <c r="F86" s="9" t="s">
        <v>374</v>
      </c>
    </row>
    <row r="87" spans="2:6" ht="30.95" customHeight="1">
      <c r="B87" s="14" t="s">
        <v>226</v>
      </c>
      <c r="C87" s="14" t="s">
        <v>44</v>
      </c>
      <c r="D87" s="14" t="s">
        <v>118</v>
      </c>
      <c r="E87" s="24">
        <v>31605</v>
      </c>
      <c r="F87" s="14" t="s">
        <v>375</v>
      </c>
    </row>
    <row r="88" spans="2:6" ht="30.95" customHeight="1">
      <c r="B88" s="9" t="s">
        <v>226</v>
      </c>
      <c r="C88" s="9" t="s">
        <v>44</v>
      </c>
      <c r="D88" s="9" t="s">
        <v>135</v>
      </c>
      <c r="E88" s="23">
        <v>36120</v>
      </c>
      <c r="F88" s="9" t="s">
        <v>376</v>
      </c>
    </row>
    <row r="89" spans="2:6" ht="30.95" customHeight="1">
      <c r="B89" s="14" t="s">
        <v>227</v>
      </c>
      <c r="C89" s="14" t="s">
        <v>8</v>
      </c>
      <c r="D89" s="14" t="s">
        <v>67</v>
      </c>
      <c r="E89" s="24">
        <v>37193.71</v>
      </c>
      <c r="F89" s="14" t="s">
        <v>377</v>
      </c>
    </row>
    <row r="90" spans="2:6" ht="30.95" customHeight="1">
      <c r="B90" s="9" t="s">
        <v>227</v>
      </c>
      <c r="C90" s="9" t="s">
        <v>8</v>
      </c>
      <c r="D90" s="9" t="s">
        <v>71</v>
      </c>
      <c r="E90" s="23">
        <v>83685.84</v>
      </c>
      <c r="F90" s="9" t="s">
        <v>378</v>
      </c>
    </row>
    <row r="91" spans="2:6" ht="30.95" customHeight="1">
      <c r="B91" s="14" t="s">
        <v>227</v>
      </c>
      <c r="C91" s="14" t="s">
        <v>43</v>
      </c>
      <c r="D91" s="14" t="s">
        <v>67</v>
      </c>
      <c r="E91" s="24">
        <v>40970.06</v>
      </c>
      <c r="F91" s="14" t="s">
        <v>379</v>
      </c>
    </row>
    <row r="92" spans="2:6" ht="30.95" customHeight="1">
      <c r="B92" s="9" t="s">
        <v>227</v>
      </c>
      <c r="C92" s="9" t="s">
        <v>43</v>
      </c>
      <c r="D92" s="9" t="s">
        <v>71</v>
      </c>
      <c r="E92" s="23">
        <v>96926.17</v>
      </c>
      <c r="F92" s="9" t="s">
        <v>380</v>
      </c>
    </row>
    <row r="93" spans="2:6" ht="30.95" customHeight="1">
      <c r="B93" s="14" t="s">
        <v>227</v>
      </c>
      <c r="C93" s="14" t="s">
        <v>44</v>
      </c>
      <c r="D93" s="14" t="s">
        <v>67</v>
      </c>
      <c r="E93" s="24">
        <v>25800</v>
      </c>
      <c r="F93" s="14" t="s">
        <v>381</v>
      </c>
    </row>
    <row r="94" spans="2:6" ht="30.95" customHeight="1">
      <c r="B94" s="9" t="s">
        <v>227</v>
      </c>
      <c r="C94" s="9" t="s">
        <v>44</v>
      </c>
      <c r="D94" s="9" t="s">
        <v>71</v>
      </c>
      <c r="E94" s="23">
        <v>60200</v>
      </c>
      <c r="F94" s="9" t="s">
        <v>382</v>
      </c>
    </row>
    <row r="95" spans="2:6" ht="30.95" customHeight="1">
      <c r="B95" s="14" t="s">
        <v>227</v>
      </c>
      <c r="C95" s="14" t="s">
        <v>45</v>
      </c>
      <c r="D95" s="14" t="s">
        <v>67</v>
      </c>
      <c r="E95" s="24">
        <v>6450</v>
      </c>
      <c r="F95" s="14" t="s">
        <v>383</v>
      </c>
    </row>
    <row r="96" spans="2:6" ht="30.95" customHeight="1">
      <c r="B96" s="9" t="s">
        <v>227</v>
      </c>
      <c r="C96" s="9" t="s">
        <v>45</v>
      </c>
      <c r="D96" s="9" t="s">
        <v>71</v>
      </c>
      <c r="E96" s="23">
        <v>15050</v>
      </c>
      <c r="F96" s="9" t="s">
        <v>384</v>
      </c>
    </row>
    <row r="97" spans="2:6" ht="30.95" customHeight="1">
      <c r="B97" s="14" t="s">
        <v>227</v>
      </c>
      <c r="C97" s="14" t="s">
        <v>47</v>
      </c>
      <c r="D97" s="14" t="s">
        <v>67</v>
      </c>
      <c r="E97" s="24">
        <v>18586.23</v>
      </c>
      <c r="F97" s="14" t="s">
        <v>385</v>
      </c>
    </row>
    <row r="98" spans="2:6" ht="30.95" customHeight="1">
      <c r="B98" s="9" t="s">
        <v>227</v>
      </c>
      <c r="C98" s="9" t="s">
        <v>47</v>
      </c>
      <c r="D98" s="9" t="s">
        <v>71</v>
      </c>
      <c r="E98" s="23">
        <v>45137.99</v>
      </c>
      <c r="F98" s="9" t="s">
        <v>386</v>
      </c>
    </row>
    <row r="99" spans="2:6" ht="30.95" customHeight="1">
      <c r="B99" s="14" t="s">
        <v>228</v>
      </c>
      <c r="C99" s="14" t="s">
        <v>8</v>
      </c>
      <c r="D99" s="14" t="s">
        <v>164</v>
      </c>
      <c r="E99" s="24">
        <v>46492.13</v>
      </c>
      <c r="F99" s="14" t="s">
        <v>387</v>
      </c>
    </row>
    <row r="100" spans="2:6" ht="30.95" customHeight="1">
      <c r="B100" s="9" t="s">
        <v>228</v>
      </c>
      <c r="C100" s="9" t="s">
        <v>8</v>
      </c>
      <c r="D100" s="9" t="s">
        <v>165</v>
      </c>
      <c r="E100" s="23">
        <v>55790.559999999998</v>
      </c>
      <c r="F100" s="9" t="s">
        <v>388</v>
      </c>
    </row>
    <row r="101" spans="2:6" ht="30.95" customHeight="1">
      <c r="B101" s="14" t="s">
        <v>228</v>
      </c>
      <c r="C101" s="14" t="s">
        <v>8</v>
      </c>
      <c r="D101" s="14" t="s">
        <v>69</v>
      </c>
      <c r="E101" s="24">
        <v>46492.13</v>
      </c>
      <c r="F101" s="14" t="s">
        <v>389</v>
      </c>
    </row>
    <row r="102" spans="2:6" ht="30.95" customHeight="1">
      <c r="B102" s="9" t="s">
        <v>228</v>
      </c>
      <c r="C102" s="9" t="s">
        <v>41</v>
      </c>
      <c r="D102" s="9" t="s">
        <v>164</v>
      </c>
      <c r="E102" s="23">
        <v>24572.06</v>
      </c>
      <c r="F102" s="9" t="s">
        <v>390</v>
      </c>
    </row>
    <row r="103" spans="2:6" ht="30.95" customHeight="1">
      <c r="B103" s="14" t="s">
        <v>228</v>
      </c>
      <c r="C103" s="14" t="s">
        <v>41</v>
      </c>
      <c r="D103" s="14" t="s">
        <v>165</v>
      </c>
      <c r="E103" s="24">
        <v>30715.08</v>
      </c>
      <c r="F103" s="14" t="s">
        <v>391</v>
      </c>
    </row>
    <row r="104" spans="2:6" ht="30.95" customHeight="1">
      <c r="B104" s="9" t="s">
        <v>228</v>
      </c>
      <c r="C104" s="9" t="s">
        <v>41</v>
      </c>
      <c r="D104" s="9" t="s">
        <v>69</v>
      </c>
      <c r="E104" s="23">
        <v>24572.06</v>
      </c>
      <c r="F104" s="9" t="s">
        <v>392</v>
      </c>
    </row>
    <row r="105" spans="2:6" ht="30.95" customHeight="1">
      <c r="B105" s="14" t="s">
        <v>228</v>
      </c>
      <c r="C105" s="14" t="s">
        <v>42</v>
      </c>
      <c r="D105" s="14" t="s">
        <v>164</v>
      </c>
      <c r="E105" s="24">
        <v>30375.21</v>
      </c>
      <c r="F105" s="14" t="s">
        <v>393</v>
      </c>
    </row>
    <row r="106" spans="2:6" ht="30.95" customHeight="1">
      <c r="B106" s="9" t="s">
        <v>228</v>
      </c>
      <c r="C106" s="9" t="s">
        <v>42</v>
      </c>
      <c r="D106" s="9" t="s">
        <v>165</v>
      </c>
      <c r="E106" s="23">
        <v>30375.21</v>
      </c>
      <c r="F106" s="9" t="s">
        <v>394</v>
      </c>
    </row>
    <row r="107" spans="2:6" ht="30.95" customHeight="1">
      <c r="B107" s="14" t="s">
        <v>228</v>
      </c>
      <c r="C107" s="14" t="s">
        <v>42</v>
      </c>
      <c r="D107" s="14" t="s">
        <v>69</v>
      </c>
      <c r="E107" s="24">
        <v>15187.61</v>
      </c>
      <c r="F107" s="14" t="s">
        <v>395</v>
      </c>
    </row>
    <row r="108" spans="2:6" ht="30.95" customHeight="1">
      <c r="B108" s="9" t="s">
        <v>228</v>
      </c>
      <c r="C108" s="9" t="s">
        <v>43</v>
      </c>
      <c r="D108" s="9" t="s">
        <v>164</v>
      </c>
      <c r="E108" s="23">
        <v>21110.6</v>
      </c>
      <c r="F108" s="9" t="s">
        <v>396</v>
      </c>
    </row>
    <row r="109" spans="2:6" ht="30.95" customHeight="1">
      <c r="B109" s="14" t="s">
        <v>228</v>
      </c>
      <c r="C109" s="14" t="s">
        <v>43</v>
      </c>
      <c r="D109" s="14" t="s">
        <v>165</v>
      </c>
      <c r="E109" s="24">
        <v>46519.15</v>
      </c>
      <c r="F109" s="14" t="s">
        <v>397</v>
      </c>
    </row>
    <row r="110" spans="2:6" ht="30.95" customHeight="1">
      <c r="B110" s="9" t="s">
        <v>228</v>
      </c>
      <c r="C110" s="9" t="s">
        <v>43</v>
      </c>
      <c r="D110" s="9" t="s">
        <v>69</v>
      </c>
      <c r="E110" s="23">
        <v>36298.199999999997</v>
      </c>
      <c r="F110" s="9" t="s">
        <v>398</v>
      </c>
    </row>
    <row r="111" spans="2:6" ht="30.95" customHeight="1">
      <c r="B111" s="14" t="s">
        <v>228</v>
      </c>
      <c r="C111" s="14" t="s">
        <v>45</v>
      </c>
      <c r="D111" s="14" t="s">
        <v>164</v>
      </c>
      <c r="E111" s="24">
        <v>6450</v>
      </c>
      <c r="F111" s="14" t="s">
        <v>399</v>
      </c>
    </row>
    <row r="112" spans="2:6" ht="30.95" customHeight="1">
      <c r="B112" s="9" t="s">
        <v>228</v>
      </c>
      <c r="C112" s="9" t="s">
        <v>45</v>
      </c>
      <c r="D112" s="9" t="s">
        <v>165</v>
      </c>
      <c r="E112" s="23">
        <v>8600</v>
      </c>
      <c r="F112" s="9" t="s">
        <v>400</v>
      </c>
    </row>
    <row r="113" spans="2:6" ht="30.95" customHeight="1">
      <c r="B113" s="14" t="s">
        <v>228</v>
      </c>
      <c r="C113" s="14" t="s">
        <v>45</v>
      </c>
      <c r="D113" s="14" t="s">
        <v>69</v>
      </c>
      <c r="E113" s="24">
        <v>6450</v>
      </c>
      <c r="F113" s="14" t="s">
        <v>401</v>
      </c>
    </row>
    <row r="114" spans="2:6" ht="30.95" customHeight="1">
      <c r="B114" s="9" t="s">
        <v>231</v>
      </c>
      <c r="C114" s="9" t="s">
        <v>8</v>
      </c>
      <c r="D114" s="9" t="s">
        <v>135</v>
      </c>
      <c r="E114" s="23">
        <v>27895.279999999999</v>
      </c>
      <c r="F114" s="9" t="s">
        <v>402</v>
      </c>
    </row>
    <row r="115" spans="2:6" ht="30.95" customHeight="1">
      <c r="B115" s="14" t="s">
        <v>231</v>
      </c>
      <c r="C115" s="14" t="s">
        <v>8</v>
      </c>
      <c r="D115" s="14" t="s">
        <v>119</v>
      </c>
      <c r="E115" s="24">
        <v>18596.849999999999</v>
      </c>
      <c r="F115" s="14" t="s">
        <v>403</v>
      </c>
    </row>
    <row r="116" spans="2:6" ht="30.95" customHeight="1">
      <c r="B116" s="9" t="s">
        <v>231</v>
      </c>
      <c r="C116" s="9" t="s">
        <v>8</v>
      </c>
      <c r="D116" s="9" t="s">
        <v>71</v>
      </c>
      <c r="E116" s="23">
        <v>9298.43</v>
      </c>
      <c r="F116" s="9" t="s">
        <v>404</v>
      </c>
    </row>
    <row r="117" spans="2:6" ht="30.95" customHeight="1">
      <c r="B117" s="14" t="s">
        <v>231</v>
      </c>
      <c r="C117" s="14" t="s">
        <v>43</v>
      </c>
      <c r="D117" s="14" t="s">
        <v>135</v>
      </c>
      <c r="E117" s="24">
        <v>38905.81</v>
      </c>
      <c r="F117" s="14" t="s">
        <v>405</v>
      </c>
    </row>
    <row r="118" spans="2:6" ht="30.95" customHeight="1">
      <c r="B118" s="9" t="s">
        <v>231</v>
      </c>
      <c r="C118" s="9" t="s">
        <v>43</v>
      </c>
      <c r="D118" s="9" t="s">
        <v>119</v>
      </c>
      <c r="E118" s="23">
        <v>26822.27</v>
      </c>
      <c r="F118" s="9" t="s">
        <v>406</v>
      </c>
    </row>
    <row r="119" spans="2:6" ht="30.95" customHeight="1">
      <c r="B119" s="14" t="s">
        <v>231</v>
      </c>
      <c r="C119" s="14" t="s">
        <v>43</v>
      </c>
      <c r="D119" s="14" t="s">
        <v>71</v>
      </c>
      <c r="E119" s="24">
        <v>28993.37</v>
      </c>
      <c r="F119" s="14" t="s">
        <v>407</v>
      </c>
    </row>
    <row r="120" spans="2:6" ht="30.95" customHeight="1">
      <c r="B120" s="9" t="s">
        <v>231</v>
      </c>
      <c r="C120" s="9" t="s">
        <v>44</v>
      </c>
      <c r="D120" s="9" t="s">
        <v>135</v>
      </c>
      <c r="E120" s="23">
        <v>40635</v>
      </c>
      <c r="F120" s="9" t="s">
        <v>408</v>
      </c>
    </row>
    <row r="121" spans="2:6" ht="30.95" customHeight="1">
      <c r="B121" s="14" t="s">
        <v>231</v>
      </c>
      <c r="C121" s="14" t="s">
        <v>44</v>
      </c>
      <c r="D121" s="14" t="s">
        <v>119</v>
      </c>
      <c r="E121" s="24">
        <v>27090</v>
      </c>
      <c r="F121" s="14" t="s">
        <v>409</v>
      </c>
    </row>
    <row r="122" spans="2:6" ht="30.95" customHeight="1">
      <c r="B122" s="9" t="s">
        <v>231</v>
      </c>
      <c r="C122" s="9" t="s">
        <v>44</v>
      </c>
      <c r="D122" s="9" t="s">
        <v>71</v>
      </c>
      <c r="E122" s="23">
        <v>22575</v>
      </c>
      <c r="F122" s="9" t="s">
        <v>410</v>
      </c>
    </row>
    <row r="123" spans="2:6" ht="30.95" customHeight="1">
      <c r="B123" s="14" t="s">
        <v>231</v>
      </c>
      <c r="C123" s="14" t="s">
        <v>45</v>
      </c>
      <c r="D123" s="14" t="s">
        <v>135</v>
      </c>
      <c r="E123" s="24">
        <v>6772.5</v>
      </c>
      <c r="F123" s="14" t="s">
        <v>411</v>
      </c>
    </row>
    <row r="124" spans="2:6" ht="30.95" customHeight="1">
      <c r="B124" s="9" t="s">
        <v>231</v>
      </c>
      <c r="C124" s="9" t="s">
        <v>45</v>
      </c>
      <c r="D124" s="9" t="s">
        <v>119</v>
      </c>
      <c r="E124" s="23">
        <v>4515</v>
      </c>
      <c r="F124" s="9" t="s">
        <v>412</v>
      </c>
    </row>
    <row r="125" spans="2:6" ht="30.95" customHeight="1">
      <c r="B125" s="14" t="s">
        <v>231</v>
      </c>
      <c r="C125" s="14" t="s">
        <v>45</v>
      </c>
      <c r="D125" s="14" t="s">
        <v>71</v>
      </c>
      <c r="E125" s="24">
        <v>3762.5</v>
      </c>
      <c r="F125" s="14" t="s">
        <v>413</v>
      </c>
    </row>
    <row r="126" spans="2:6" ht="30.95" customHeight="1">
      <c r="B126" s="9" t="s">
        <v>231</v>
      </c>
      <c r="C126" s="9" t="s">
        <v>47</v>
      </c>
      <c r="D126" s="9" t="s">
        <v>135</v>
      </c>
      <c r="E126" s="23">
        <v>21241.41</v>
      </c>
      <c r="F126" s="9" t="s">
        <v>414</v>
      </c>
    </row>
    <row r="127" spans="2:6" ht="30.95" customHeight="1">
      <c r="B127" s="14" t="s">
        <v>231</v>
      </c>
      <c r="C127" s="14" t="s">
        <v>47</v>
      </c>
      <c r="D127" s="14" t="s">
        <v>119</v>
      </c>
      <c r="E127" s="24">
        <v>13275.88</v>
      </c>
      <c r="F127" s="14" t="s">
        <v>415</v>
      </c>
    </row>
    <row r="128" spans="2:6" ht="30.95" customHeight="1">
      <c r="B128" s="9" t="s">
        <v>231</v>
      </c>
      <c r="C128" s="9" t="s">
        <v>47</v>
      </c>
      <c r="D128" s="9" t="s">
        <v>71</v>
      </c>
      <c r="E128" s="23">
        <v>10620.7</v>
      </c>
      <c r="F128" s="9" t="s">
        <v>416</v>
      </c>
    </row>
    <row r="129" spans="2:6" ht="30.95" customHeight="1">
      <c r="B129" s="14" t="s">
        <v>230</v>
      </c>
      <c r="C129" s="14" t="s">
        <v>8</v>
      </c>
      <c r="D129" s="14" t="s">
        <v>135</v>
      </c>
      <c r="E129" s="24">
        <v>18596.849999999999</v>
      </c>
      <c r="F129" s="14" t="s">
        <v>417</v>
      </c>
    </row>
    <row r="130" spans="2:6" ht="30.95" customHeight="1">
      <c r="B130" s="9" t="s">
        <v>230</v>
      </c>
      <c r="C130" s="9" t="s">
        <v>8</v>
      </c>
      <c r="D130" s="9" t="s">
        <v>70</v>
      </c>
      <c r="E130" s="23">
        <v>9298.43</v>
      </c>
      <c r="F130" s="9" t="s">
        <v>418</v>
      </c>
    </row>
    <row r="131" spans="2:6" ht="30.95" customHeight="1">
      <c r="B131" s="14" t="s">
        <v>230</v>
      </c>
      <c r="C131" s="14" t="s">
        <v>43</v>
      </c>
      <c r="D131" s="14" t="s">
        <v>135</v>
      </c>
      <c r="E131" s="24">
        <v>57986.74</v>
      </c>
      <c r="F131" s="14" t="s">
        <v>419</v>
      </c>
    </row>
    <row r="132" spans="2:6" ht="30.95" customHeight="1">
      <c r="B132" s="9" t="s">
        <v>230</v>
      </c>
      <c r="C132" s="9" t="s">
        <v>43</v>
      </c>
      <c r="D132" s="9" t="s">
        <v>70</v>
      </c>
      <c r="E132" s="23">
        <v>22005.87</v>
      </c>
      <c r="F132" s="9" t="s">
        <v>420</v>
      </c>
    </row>
    <row r="133" spans="2:6" ht="30.95" customHeight="1">
      <c r="B133" s="14" t="s">
        <v>230</v>
      </c>
      <c r="C133" s="14" t="s">
        <v>44</v>
      </c>
      <c r="D133" s="14" t="s">
        <v>135</v>
      </c>
      <c r="E133" s="24">
        <v>37625</v>
      </c>
      <c r="F133" s="14" t="s">
        <v>421</v>
      </c>
    </row>
    <row r="134" spans="2:6" ht="30.95" customHeight="1">
      <c r="B134" s="9" t="s">
        <v>230</v>
      </c>
      <c r="C134" s="9" t="s">
        <v>44</v>
      </c>
      <c r="D134" s="9" t="s">
        <v>70</v>
      </c>
      <c r="E134" s="23">
        <v>16125</v>
      </c>
      <c r="F134" s="9" t="s">
        <v>422</v>
      </c>
    </row>
    <row r="135" spans="2:6" ht="30.95" customHeight="1">
      <c r="B135" s="14" t="s">
        <v>230</v>
      </c>
      <c r="C135" s="14" t="s">
        <v>45</v>
      </c>
      <c r="D135" s="14" t="s">
        <v>135</v>
      </c>
      <c r="E135" s="24">
        <v>15050</v>
      </c>
      <c r="F135" s="14" t="s">
        <v>423</v>
      </c>
    </row>
    <row r="136" spans="2:6" ht="30.95" customHeight="1">
      <c r="B136" s="9" t="s">
        <v>230</v>
      </c>
      <c r="C136" s="9" t="s">
        <v>45</v>
      </c>
      <c r="D136" s="9" t="s">
        <v>70</v>
      </c>
      <c r="E136" s="23">
        <v>6450</v>
      </c>
      <c r="F136" s="9" t="s">
        <v>424</v>
      </c>
    </row>
    <row r="137" spans="2:6" ht="30.95" customHeight="1">
      <c r="B137" s="14" t="s">
        <v>230</v>
      </c>
      <c r="C137" s="14" t="s">
        <v>47</v>
      </c>
      <c r="D137" s="14" t="s">
        <v>135</v>
      </c>
      <c r="E137" s="24">
        <v>21241.41</v>
      </c>
      <c r="F137" s="14" t="s">
        <v>425</v>
      </c>
    </row>
    <row r="138" spans="2:6" ht="30.95" customHeight="1">
      <c r="B138" s="9" t="s">
        <v>230</v>
      </c>
      <c r="C138" s="9" t="s">
        <v>47</v>
      </c>
      <c r="D138" s="9" t="s">
        <v>70</v>
      </c>
      <c r="E138" s="23">
        <v>10620.7</v>
      </c>
      <c r="F138" s="9" t="s">
        <v>426</v>
      </c>
    </row>
    <row r="139" spans="2:6" ht="30.95" customHeight="1">
      <c r="B139" s="14" t="s">
        <v>233</v>
      </c>
      <c r="C139" s="14" t="s">
        <v>8</v>
      </c>
      <c r="D139" s="14" t="s">
        <v>196</v>
      </c>
      <c r="E139" s="24">
        <v>18596.849999999999</v>
      </c>
      <c r="F139" s="14" t="s">
        <v>427</v>
      </c>
    </row>
    <row r="140" spans="2:6" ht="30.95" customHeight="1">
      <c r="B140" s="9" t="s">
        <v>233</v>
      </c>
      <c r="C140" s="9" t="s">
        <v>8</v>
      </c>
      <c r="D140" s="9" t="s">
        <v>119</v>
      </c>
      <c r="E140" s="23">
        <v>18596.849999999999</v>
      </c>
      <c r="F140" s="9" t="s">
        <v>428</v>
      </c>
    </row>
    <row r="141" spans="2:6" ht="30.95" customHeight="1">
      <c r="B141" s="14" t="s">
        <v>233</v>
      </c>
      <c r="C141" s="14" t="s">
        <v>41</v>
      </c>
      <c r="D141" s="14" t="s">
        <v>196</v>
      </c>
      <c r="E141" s="24">
        <v>6143.02</v>
      </c>
      <c r="F141" s="14" t="s">
        <v>429</v>
      </c>
    </row>
    <row r="142" spans="2:6" ht="30.95" customHeight="1">
      <c r="B142" s="9" t="s">
        <v>233</v>
      </c>
      <c r="C142" s="9" t="s">
        <v>41</v>
      </c>
      <c r="D142" s="9" t="s">
        <v>119</v>
      </c>
      <c r="E142" s="23">
        <v>6143.02</v>
      </c>
      <c r="F142" s="9" t="s">
        <v>430</v>
      </c>
    </row>
    <row r="143" spans="2:6" ht="30.95" customHeight="1">
      <c r="B143" s="14" t="s">
        <v>233</v>
      </c>
      <c r="C143" s="14" t="s">
        <v>43</v>
      </c>
      <c r="D143" s="14" t="s">
        <v>196</v>
      </c>
      <c r="E143" s="24">
        <v>26860.13</v>
      </c>
      <c r="F143" s="14" t="s">
        <v>431</v>
      </c>
    </row>
    <row r="144" spans="2:6" ht="30.95" customHeight="1">
      <c r="B144" s="9" t="s">
        <v>233</v>
      </c>
      <c r="C144" s="9" t="s">
        <v>43</v>
      </c>
      <c r="D144" s="9" t="s">
        <v>119</v>
      </c>
      <c r="E144" s="23">
        <v>26860.13</v>
      </c>
      <c r="F144" s="9" t="s">
        <v>432</v>
      </c>
    </row>
    <row r="145" spans="2:6" ht="30.95" customHeight="1">
      <c r="B145" s="14" t="s">
        <v>233</v>
      </c>
      <c r="C145" s="14" t="s">
        <v>44</v>
      </c>
      <c r="D145" s="14" t="s">
        <v>196</v>
      </c>
      <c r="E145" s="24">
        <v>21500</v>
      </c>
      <c r="F145" s="14" t="s">
        <v>433</v>
      </c>
    </row>
    <row r="146" spans="2:6" ht="30.95" customHeight="1">
      <c r="B146" s="9" t="s">
        <v>233</v>
      </c>
      <c r="C146" s="9" t="s">
        <v>44</v>
      </c>
      <c r="D146" s="9" t="s">
        <v>119</v>
      </c>
      <c r="E146" s="23">
        <v>21500</v>
      </c>
      <c r="F146" s="9" t="s">
        <v>434</v>
      </c>
    </row>
    <row r="147" spans="2:6" ht="30.95" customHeight="1">
      <c r="B147" s="14" t="s">
        <v>233</v>
      </c>
      <c r="C147" s="14" t="s">
        <v>46</v>
      </c>
      <c r="D147" s="14" t="s">
        <v>196</v>
      </c>
      <c r="E147" s="24">
        <v>12900</v>
      </c>
      <c r="F147" s="14" t="s">
        <v>435</v>
      </c>
    </row>
    <row r="148" spans="2:6" ht="30.95" customHeight="1">
      <c r="B148" s="9" t="s">
        <v>233</v>
      </c>
      <c r="C148" s="9" t="s">
        <v>46</v>
      </c>
      <c r="D148" s="9" t="s">
        <v>119</v>
      </c>
      <c r="E148" s="23">
        <v>12900</v>
      </c>
      <c r="F148" s="9" t="s">
        <v>436</v>
      </c>
    </row>
  </sheetData>
  <mergeCells count="2">
    <mergeCell ref="B2:M2"/>
    <mergeCell ref="B5:M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2026-09-28T21:48:41Z</dcterms:created>
  <dcterms:modified xsi:type="dcterms:W3CDTF">2026-09-28T21:53:13Z</dcterms:modified>
  <cp:category/>
  <cp:contentStatus/>
</cp:coreProperties>
</file>